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3edf54d9706e4d/Documents/diyaudio/boxplan/beta/"/>
    </mc:Choice>
  </mc:AlternateContent>
  <bookViews>
    <workbookView xWindow="240" yWindow="45" windowWidth="11655" windowHeight="5490" xr2:uid="{00000000-000D-0000-FFFF-FFFF00000000}"/>
  </bookViews>
  <sheets>
    <sheet name="SPlanar TH" sheetId="6" r:id="rId1"/>
    <sheet name="Panels" sheetId="7" r:id="rId2"/>
    <sheet name="Path" sheetId="8" r:id="rId3"/>
  </sheets>
  <externalReferences>
    <externalReference r:id="rId4"/>
  </externalReferences>
  <definedNames>
    <definedName name="Delta">[1]Design!$D$31</definedName>
    <definedName name="Delta2">[1]Design!$D$32</definedName>
  </definedNames>
  <calcPr calcId="171027"/>
</workbook>
</file>

<file path=xl/calcChain.xml><?xml version="1.0" encoding="utf-8"?>
<calcChain xmlns="http://schemas.openxmlformats.org/spreadsheetml/2006/main">
  <c r="D25" i="6" l="1"/>
  <c r="N90" i="8"/>
  <c r="P4" i="8" l="1"/>
  <c r="P4" i="7"/>
  <c r="R4" i="7" l="1"/>
  <c r="T4" i="7"/>
  <c r="V4" i="7" s="1"/>
  <c r="S4" i="8"/>
  <c r="T4" i="8"/>
  <c r="W4" i="8" s="1"/>
  <c r="Q4" i="8"/>
  <c r="R4" i="8"/>
  <c r="W4" i="7"/>
  <c r="Q4" i="7"/>
  <c r="S4" i="7"/>
  <c r="U4" i="7" l="1"/>
  <c r="V4" i="8"/>
  <c r="U4" i="8"/>
  <c r="E46" i="6"/>
  <c r="E45" i="6"/>
  <c r="E43" i="6"/>
  <c r="E42" i="6"/>
  <c r="E41" i="6"/>
  <c r="E40" i="6"/>
  <c r="E39" i="6"/>
  <c r="E38" i="6"/>
  <c r="E37" i="6"/>
  <c r="A81" i="7" l="1"/>
  <c r="A87" i="7" s="1"/>
  <c r="A69" i="7"/>
  <c r="A75" i="7" s="1"/>
  <c r="A57" i="7"/>
  <c r="A63" i="7" s="1"/>
  <c r="A51" i="7"/>
  <c r="A39" i="7"/>
  <c r="A45" i="7" s="1"/>
  <c r="A33" i="7"/>
  <c r="A27" i="7"/>
  <c r="A21" i="7"/>
  <c r="A15" i="7"/>
  <c r="A9" i="7"/>
  <c r="B46" i="6"/>
  <c r="B45" i="6"/>
  <c r="B43" i="6"/>
  <c r="B42" i="6"/>
  <c r="B41" i="6"/>
  <c r="B40" i="6"/>
  <c r="B39" i="6"/>
  <c r="B38" i="6"/>
  <c r="B37" i="6"/>
  <c r="D101" i="6" l="1"/>
  <c r="D54" i="6"/>
  <c r="J105" i="6" l="1"/>
  <c r="J104" i="6"/>
  <c r="J103" i="6"/>
  <c r="D102" i="6"/>
  <c r="J102" i="6" s="1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4" i="6"/>
  <c r="J80" i="6"/>
  <c r="J76" i="6"/>
  <c r="J72" i="6"/>
  <c r="J71" i="6"/>
  <c r="J70" i="6"/>
  <c r="J69" i="6"/>
  <c r="J68" i="6"/>
  <c r="A92" i="8" l="1"/>
  <c r="A89" i="8" s="1"/>
  <c r="A83" i="8" s="1"/>
  <c r="A80" i="8" s="1"/>
  <c r="A77" i="8" s="1"/>
  <c r="A74" i="8" s="1"/>
  <c r="A71" i="8" s="1"/>
  <c r="A68" i="8" s="1"/>
  <c r="A65" i="8" s="1"/>
  <c r="A62" i="8" s="1"/>
  <c r="A59" i="8" s="1"/>
  <c r="A56" i="8" s="1"/>
  <c r="A53" i="8" s="1"/>
  <c r="A50" i="8" s="1"/>
  <c r="A47" i="8" s="1"/>
  <c r="A44" i="8" s="1"/>
  <c r="A41" i="8" s="1"/>
  <c r="A38" i="8" s="1"/>
  <c r="A35" i="8" s="1"/>
  <c r="A32" i="8" s="1"/>
  <c r="A29" i="8" s="1"/>
  <c r="A26" i="8" s="1"/>
  <c r="A23" i="8" s="1"/>
  <c r="A20" i="8" s="1"/>
  <c r="A17" i="8" s="1"/>
  <c r="B20" i="8" l="1"/>
  <c r="B23" i="8" s="1"/>
  <c r="B26" i="8" s="1"/>
  <c r="B29" i="8" s="1"/>
  <c r="B32" i="8" s="1"/>
  <c r="B35" i="8" s="1"/>
  <c r="B38" i="8" s="1"/>
  <c r="B41" i="8" s="1"/>
  <c r="B44" i="8" s="1"/>
  <c r="B47" i="8" s="1"/>
  <c r="B50" i="8" s="1"/>
  <c r="B53" i="8" s="1"/>
  <c r="B56" i="8" s="1"/>
  <c r="B59" i="8" s="1"/>
  <c r="B62" i="8" s="1"/>
  <c r="B65" i="8" s="1"/>
  <c r="B68" i="8" s="1"/>
  <c r="B71" i="8" s="1"/>
  <c r="B74" i="8" s="1"/>
  <c r="B77" i="8" s="1"/>
  <c r="B80" i="8" s="1"/>
  <c r="B83" i="8" s="1"/>
  <c r="B89" i="8" s="1"/>
  <c r="B92" i="8" l="1"/>
  <c r="E133" i="7"/>
  <c r="E141" i="7" s="1"/>
  <c r="E143" i="7" l="1"/>
  <c r="E135" i="7"/>
  <c r="E144" i="7"/>
  <c r="E134" i="7"/>
  <c r="E136" i="7"/>
  <c r="E145" i="7"/>
  <c r="E142" i="7"/>
  <c r="E137" i="7"/>
  <c r="E146" i="7"/>
  <c r="E138" i="7"/>
  <c r="E148" i="7"/>
  <c r="E139" i="7"/>
  <c r="E149" i="7"/>
  <c r="C27" i="7"/>
  <c r="C31" i="7" s="1"/>
  <c r="D27" i="7"/>
  <c r="M20" i="8"/>
  <c r="N19" i="8"/>
  <c r="N20" i="8" s="1"/>
  <c r="M19" i="8"/>
  <c r="N18" i="8"/>
  <c r="D29" i="7"/>
  <c r="D96" i="7" s="1"/>
  <c r="G96" i="7" s="1"/>
  <c r="C28" i="7"/>
  <c r="F23" i="6"/>
  <c r="F21" i="6"/>
  <c r="F28" i="6"/>
  <c r="F5" i="6"/>
  <c r="F6" i="6"/>
  <c r="F7" i="6"/>
  <c r="F8" i="6"/>
  <c r="F4" i="6"/>
  <c r="F25" i="6"/>
  <c r="D49" i="6"/>
  <c r="D39" i="7" l="1"/>
  <c r="D45" i="7" s="1"/>
  <c r="D91" i="8" s="1"/>
  <c r="D9" i="7"/>
  <c r="D15" i="7" s="1"/>
  <c r="D19" i="7" s="1"/>
  <c r="G19" i="7" s="1"/>
  <c r="D37" i="6"/>
  <c r="D32" i="6"/>
  <c r="O14" i="8" s="1"/>
  <c r="C93" i="7"/>
  <c r="C94" i="7" s="1"/>
  <c r="D94" i="7"/>
  <c r="G94" i="7" s="1"/>
  <c r="D99" i="7"/>
  <c r="G99" i="7" s="1"/>
  <c r="F31" i="7"/>
  <c r="C21" i="7"/>
  <c r="D28" i="7"/>
  <c r="J29" i="7" s="1"/>
  <c r="C9" i="7"/>
  <c r="Z82" i="8" s="1"/>
  <c r="AB82" i="8" s="1"/>
  <c r="C34" i="7"/>
  <c r="F34" i="7" s="1"/>
  <c r="G27" i="7"/>
  <c r="C33" i="7"/>
  <c r="C15" i="7"/>
  <c r="F28" i="7"/>
  <c r="C29" i="7"/>
  <c r="C96" i="7" s="1"/>
  <c r="D33" i="7"/>
  <c r="D21" i="7"/>
  <c r="D17" i="8" s="1"/>
  <c r="G29" i="7"/>
  <c r="D10" i="7"/>
  <c r="D35" i="7"/>
  <c r="D30" i="7"/>
  <c r="F27" i="7"/>
  <c r="C30" i="7"/>
  <c r="D31" i="7"/>
  <c r="G31" i="7" s="1"/>
  <c r="D31" i="6"/>
  <c r="H31" i="6" s="1"/>
  <c r="I28" i="7"/>
  <c r="F22" i="6"/>
  <c r="C25" i="7" l="1"/>
  <c r="F25" i="7" s="1"/>
  <c r="C17" i="8"/>
  <c r="D40" i="7"/>
  <c r="D75" i="7" s="1"/>
  <c r="D76" i="7" s="1"/>
  <c r="AA82" i="8"/>
  <c r="AC82" i="8" s="1"/>
  <c r="D82" i="8"/>
  <c r="G91" i="8"/>
  <c r="G39" i="7"/>
  <c r="D92" i="8"/>
  <c r="G92" i="8" s="1"/>
  <c r="D38" i="6"/>
  <c r="D46" i="6" s="1"/>
  <c r="F94" i="7"/>
  <c r="O78" i="8"/>
  <c r="O18" i="8"/>
  <c r="F12" i="8"/>
  <c r="O63" i="8"/>
  <c r="O21" i="8"/>
  <c r="O66" i="8"/>
  <c r="O48" i="8"/>
  <c r="F8" i="8"/>
  <c r="O24" i="8"/>
  <c r="O54" i="8"/>
  <c r="O84" i="8"/>
  <c r="O39" i="8"/>
  <c r="O30" i="8"/>
  <c r="O57" i="8"/>
  <c r="O27" i="8"/>
  <c r="O72" i="8"/>
  <c r="O42" i="8"/>
  <c r="O60" i="8"/>
  <c r="O33" i="8"/>
  <c r="O51" i="8"/>
  <c r="F9" i="8"/>
  <c r="O93" i="8"/>
  <c r="O81" i="8"/>
  <c r="O45" i="8"/>
  <c r="F11" i="8"/>
  <c r="F7" i="8"/>
  <c r="O75" i="8"/>
  <c r="O69" i="8"/>
  <c r="O90" i="8"/>
  <c r="O36" i="8"/>
  <c r="F93" i="7"/>
  <c r="F21" i="7"/>
  <c r="J10" i="7"/>
  <c r="F96" i="7"/>
  <c r="C97" i="7"/>
  <c r="C99" i="7"/>
  <c r="F99" i="7" s="1"/>
  <c r="C13" i="7"/>
  <c r="C51" i="7"/>
  <c r="C22" i="8" s="1"/>
  <c r="C25" i="8" s="1"/>
  <c r="C28" i="8" s="1"/>
  <c r="C31" i="8" s="1"/>
  <c r="C34" i="8" s="1"/>
  <c r="C38" i="8" s="1"/>
  <c r="C22" i="7"/>
  <c r="I22" i="7" s="1"/>
  <c r="J28" i="7"/>
  <c r="K28" i="7" s="1"/>
  <c r="D39" i="6" s="1"/>
  <c r="H40" i="6" s="1"/>
  <c r="F9" i="7"/>
  <c r="G28" i="7"/>
  <c r="G9" i="7"/>
  <c r="D13" i="7"/>
  <c r="G13" i="7" s="1"/>
  <c r="C35" i="7"/>
  <c r="I35" i="7" s="1"/>
  <c r="D18" i="7"/>
  <c r="G18" i="7" s="1"/>
  <c r="G15" i="7"/>
  <c r="D12" i="7"/>
  <c r="G12" i="7" s="1"/>
  <c r="C10" i="7"/>
  <c r="C80" i="8" s="1"/>
  <c r="C77" i="8" s="1"/>
  <c r="G35" i="7"/>
  <c r="D16" i="7"/>
  <c r="D36" i="7"/>
  <c r="D57" i="7" s="1"/>
  <c r="D58" i="7" s="1"/>
  <c r="I30" i="7"/>
  <c r="F29" i="7"/>
  <c r="C37" i="7"/>
  <c r="F37" i="7" s="1"/>
  <c r="I34" i="7"/>
  <c r="C36" i="7"/>
  <c r="F33" i="7"/>
  <c r="I31" i="7"/>
  <c r="F30" i="7"/>
  <c r="G10" i="7"/>
  <c r="D11" i="7"/>
  <c r="J11" i="7" s="1"/>
  <c r="J31" i="7"/>
  <c r="G30" i="7"/>
  <c r="J30" i="7"/>
  <c r="D46" i="7"/>
  <c r="D49" i="7"/>
  <c r="G49" i="7" s="1"/>
  <c r="G45" i="7"/>
  <c r="D22" i="7"/>
  <c r="D16" i="8" s="1"/>
  <c r="G16" i="8" s="1"/>
  <c r="G21" i="7"/>
  <c r="D24" i="7"/>
  <c r="D34" i="7"/>
  <c r="J34" i="7" s="1"/>
  <c r="D37" i="7"/>
  <c r="G37" i="7" s="1"/>
  <c r="G33" i="7"/>
  <c r="I29" i="7"/>
  <c r="K29" i="7" s="1"/>
  <c r="H39" i="6" s="1"/>
  <c r="C19" i="7"/>
  <c r="F19" i="7" s="1"/>
  <c r="F15" i="7"/>
  <c r="C16" i="7"/>
  <c r="I16" i="7" s="1"/>
  <c r="G40" i="7" l="1"/>
  <c r="D43" i="7"/>
  <c r="G43" i="7" s="1"/>
  <c r="J40" i="7"/>
  <c r="D41" i="7"/>
  <c r="G41" i="7" s="1"/>
  <c r="AA56" i="8"/>
  <c r="I91" i="8"/>
  <c r="K91" i="8" s="1"/>
  <c r="K92" i="8" s="1"/>
  <c r="K93" i="8" s="1"/>
  <c r="F13" i="7"/>
  <c r="C82" i="8"/>
  <c r="AA55" i="8"/>
  <c r="AC55" i="8" s="1"/>
  <c r="D46" i="8"/>
  <c r="D49" i="8" s="1"/>
  <c r="AE82" i="8"/>
  <c r="AD82" i="8"/>
  <c r="D77" i="7"/>
  <c r="AC56" i="8"/>
  <c r="D58" i="8"/>
  <c r="D61" i="8" s="1"/>
  <c r="D64" i="8" s="1"/>
  <c r="D67" i="8" s="1"/>
  <c r="G67" i="8" s="1"/>
  <c r="J46" i="7"/>
  <c r="D69" i="7"/>
  <c r="D70" i="7" s="1"/>
  <c r="D71" i="7" s="1"/>
  <c r="D72" i="7" s="1"/>
  <c r="C57" i="7"/>
  <c r="F57" i="7" s="1"/>
  <c r="D42" i="6"/>
  <c r="K42" i="6" s="1"/>
  <c r="D40" i="6"/>
  <c r="K40" i="6" s="1"/>
  <c r="D43" i="6"/>
  <c r="K43" i="6" s="1"/>
  <c r="D45" i="6"/>
  <c r="K45" i="6" s="1"/>
  <c r="D41" i="6"/>
  <c r="K41" i="6" s="1"/>
  <c r="K38" i="6"/>
  <c r="D100" i="7"/>
  <c r="G100" i="7" s="1"/>
  <c r="F97" i="7"/>
  <c r="C52" i="7"/>
  <c r="C81" i="7" s="1"/>
  <c r="F81" i="7" s="1"/>
  <c r="F51" i="7"/>
  <c r="F22" i="7"/>
  <c r="C55" i="7"/>
  <c r="F55" i="7" s="1"/>
  <c r="C16" i="8"/>
  <c r="C23" i="7"/>
  <c r="F35" i="7"/>
  <c r="I36" i="7"/>
  <c r="J22" i="7"/>
  <c r="K22" i="7" s="1"/>
  <c r="J19" i="7"/>
  <c r="J13" i="7"/>
  <c r="D22" i="8"/>
  <c r="D25" i="8" s="1"/>
  <c r="D28" i="8" s="1"/>
  <c r="D31" i="8" s="1"/>
  <c r="D32" i="8" s="1"/>
  <c r="F10" i="7"/>
  <c r="C11" i="7"/>
  <c r="I10" i="7"/>
  <c r="K10" i="7" s="1"/>
  <c r="H37" i="6" s="1"/>
  <c r="K37" i="6" s="1"/>
  <c r="J35" i="7"/>
  <c r="K35" i="7" s="1"/>
  <c r="G34" i="7"/>
  <c r="K30" i="7"/>
  <c r="J37" i="7"/>
  <c r="G36" i="7"/>
  <c r="G16" i="7"/>
  <c r="D17" i="7"/>
  <c r="J17" i="7" s="1"/>
  <c r="J16" i="7"/>
  <c r="K16" i="7" s="1"/>
  <c r="F16" i="7"/>
  <c r="C17" i="7"/>
  <c r="I17" i="7" s="1"/>
  <c r="G11" i="7"/>
  <c r="J12" i="7"/>
  <c r="K31" i="7"/>
  <c r="G24" i="7"/>
  <c r="D25" i="7"/>
  <c r="G25" i="7" s="1"/>
  <c r="J36" i="7"/>
  <c r="I37" i="7"/>
  <c r="F36" i="7"/>
  <c r="D51" i="7"/>
  <c r="G22" i="7"/>
  <c r="D23" i="7"/>
  <c r="J23" i="7" s="1"/>
  <c r="G46" i="7"/>
  <c r="D47" i="7"/>
  <c r="K34" i="7"/>
  <c r="K39" i="6"/>
  <c r="J41" i="7" l="1"/>
  <c r="D42" i="7"/>
  <c r="J42" i="7" s="1"/>
  <c r="D78" i="7"/>
  <c r="AC83" i="8" s="1"/>
  <c r="AA83" i="8"/>
  <c r="D70" i="8"/>
  <c r="D55" i="8"/>
  <c r="D52" i="8"/>
  <c r="C85" i="7"/>
  <c r="F85" i="7" s="1"/>
  <c r="C82" i="7"/>
  <c r="C83" i="7" s="1"/>
  <c r="C39" i="7" s="1"/>
  <c r="C92" i="8" s="1"/>
  <c r="F92" i="8" s="1"/>
  <c r="F82" i="8"/>
  <c r="F16" i="8"/>
  <c r="J47" i="7"/>
  <c r="D19" i="8"/>
  <c r="G19" i="8" s="1"/>
  <c r="G22" i="8"/>
  <c r="I16" i="8"/>
  <c r="G17" i="8"/>
  <c r="C61" i="7"/>
  <c r="F61" i="7" s="1"/>
  <c r="F80" i="8"/>
  <c r="I52" i="7"/>
  <c r="C128" i="7"/>
  <c r="F23" i="7"/>
  <c r="C53" i="7"/>
  <c r="F52" i="7"/>
  <c r="C58" i="7"/>
  <c r="C24" i="7"/>
  <c r="I24" i="7" s="1"/>
  <c r="K36" i="7"/>
  <c r="I23" i="7"/>
  <c r="K23" i="7" s="1"/>
  <c r="Q18" i="8"/>
  <c r="D7" i="8" s="1"/>
  <c r="D11" i="6" s="1"/>
  <c r="D73" i="6" s="1"/>
  <c r="J73" i="6" s="1"/>
  <c r="K37" i="7"/>
  <c r="K17" i="7"/>
  <c r="D23" i="8"/>
  <c r="I11" i="7"/>
  <c r="K11" i="7" s="1"/>
  <c r="F11" i="7"/>
  <c r="C12" i="7"/>
  <c r="I12" i="7" s="1"/>
  <c r="K12" i="7" s="1"/>
  <c r="J25" i="7"/>
  <c r="J24" i="7"/>
  <c r="G23" i="7"/>
  <c r="D52" i="7"/>
  <c r="D55" i="7"/>
  <c r="G55" i="7" s="1"/>
  <c r="G51" i="7"/>
  <c r="G47" i="7"/>
  <c r="D48" i="7"/>
  <c r="J43" i="7"/>
  <c r="G42" i="7"/>
  <c r="F17" i="7"/>
  <c r="C18" i="7"/>
  <c r="J18" i="7"/>
  <c r="G17" i="7"/>
  <c r="C87" i="7" l="1"/>
  <c r="C63" i="7"/>
  <c r="D73" i="8"/>
  <c r="G70" i="8"/>
  <c r="I82" i="7"/>
  <c r="F58" i="7"/>
  <c r="Z55" i="8"/>
  <c r="C46" i="8"/>
  <c r="U21" i="8"/>
  <c r="U29" i="8"/>
  <c r="U37" i="8"/>
  <c r="U45" i="8"/>
  <c r="U53" i="8"/>
  <c r="U39" i="8"/>
  <c r="U28" i="8"/>
  <c r="U52" i="8"/>
  <c r="U22" i="8"/>
  <c r="U30" i="8"/>
  <c r="U38" i="8"/>
  <c r="U46" i="8"/>
  <c r="U54" i="8"/>
  <c r="U23" i="8"/>
  <c r="U31" i="8"/>
  <c r="U47" i="8"/>
  <c r="U55" i="8"/>
  <c r="U32" i="8"/>
  <c r="U40" i="8"/>
  <c r="U56" i="8"/>
  <c r="U33" i="8"/>
  <c r="U49" i="8"/>
  <c r="U57" i="8"/>
  <c r="U26" i="8"/>
  <c r="U34" i="8"/>
  <c r="U42" i="8"/>
  <c r="U50" i="8"/>
  <c r="U19" i="8"/>
  <c r="U43" i="8"/>
  <c r="U25" i="8"/>
  <c r="U41" i="8"/>
  <c r="U27" i="8"/>
  <c r="U51" i="8"/>
  <c r="U20" i="8"/>
  <c r="U44" i="8"/>
  <c r="U24" i="8"/>
  <c r="U48" i="8"/>
  <c r="U18" i="8"/>
  <c r="U35" i="8"/>
  <c r="U36" i="8"/>
  <c r="K16" i="8"/>
  <c r="K17" i="8" s="1"/>
  <c r="K18" i="8" s="1"/>
  <c r="J48" i="7"/>
  <c r="D88" i="7"/>
  <c r="D89" i="7" s="1"/>
  <c r="D82" i="7"/>
  <c r="D83" i="7" s="1"/>
  <c r="G83" i="7" s="1"/>
  <c r="D81" i="7"/>
  <c r="C40" i="7"/>
  <c r="C75" i="7" s="1"/>
  <c r="C42" i="7"/>
  <c r="F39" i="7"/>
  <c r="F82" i="7"/>
  <c r="F83" i="7"/>
  <c r="I83" i="7"/>
  <c r="C84" i="7"/>
  <c r="C89" i="8" s="1"/>
  <c r="C54" i="7"/>
  <c r="I55" i="7" s="1"/>
  <c r="I22" i="8"/>
  <c r="K22" i="8" s="1"/>
  <c r="K23" i="8" s="1"/>
  <c r="K24" i="8" s="1"/>
  <c r="G23" i="8"/>
  <c r="R18" i="8"/>
  <c r="S18" i="8" s="1"/>
  <c r="F17" i="8"/>
  <c r="C19" i="8"/>
  <c r="F22" i="8"/>
  <c r="F53" i="7"/>
  <c r="I53" i="7"/>
  <c r="C135" i="7"/>
  <c r="F135" i="7" s="1"/>
  <c r="C129" i="7"/>
  <c r="E129" i="7" s="1"/>
  <c r="D128" i="7"/>
  <c r="D93" i="7"/>
  <c r="G93" i="7" s="1"/>
  <c r="F24" i="7"/>
  <c r="I25" i="7"/>
  <c r="K25" i="7" s="1"/>
  <c r="K24" i="7"/>
  <c r="C59" i="7"/>
  <c r="F59" i="7" s="1"/>
  <c r="I58" i="7"/>
  <c r="C23" i="8"/>
  <c r="H16" i="8"/>
  <c r="J52" i="7"/>
  <c r="K52" i="7" s="1"/>
  <c r="D20" i="8"/>
  <c r="G20" i="8" s="1"/>
  <c r="D26" i="8"/>
  <c r="G82" i="8"/>
  <c r="I13" i="7"/>
  <c r="K13" i="7" s="1"/>
  <c r="F12" i="7"/>
  <c r="D61" i="7"/>
  <c r="G61" i="7" s="1"/>
  <c r="D60" i="7"/>
  <c r="G57" i="7"/>
  <c r="I19" i="7"/>
  <c r="K19" i="7" s="1"/>
  <c r="F18" i="7"/>
  <c r="I18" i="7"/>
  <c r="K18" i="7" s="1"/>
  <c r="G52" i="7"/>
  <c r="D53" i="7"/>
  <c r="J49" i="7"/>
  <c r="G48" i="7"/>
  <c r="C76" i="7" l="1"/>
  <c r="Z56" i="8"/>
  <c r="G82" i="7"/>
  <c r="D41" i="8"/>
  <c r="D44" i="8" s="1"/>
  <c r="D47" i="8" s="1"/>
  <c r="D50" i="8" s="1"/>
  <c r="D53" i="8" s="1"/>
  <c r="D76" i="8"/>
  <c r="G73" i="8"/>
  <c r="C49" i="8"/>
  <c r="C47" i="8"/>
  <c r="AB55" i="8"/>
  <c r="AD55" i="8" s="1"/>
  <c r="D87" i="7"/>
  <c r="G87" i="7" s="1"/>
  <c r="J16" i="8"/>
  <c r="J17" i="8" s="1"/>
  <c r="J18" i="8" s="1"/>
  <c r="Q24" i="8"/>
  <c r="Q25" i="8" s="1"/>
  <c r="Q26" i="8" s="1"/>
  <c r="G26" i="8"/>
  <c r="D68" i="8"/>
  <c r="D29" i="8"/>
  <c r="G29" i="8" s="1"/>
  <c r="C43" i="7"/>
  <c r="F43" i="7" s="1"/>
  <c r="F42" i="7"/>
  <c r="C41" i="7"/>
  <c r="I41" i="7" s="1"/>
  <c r="K41" i="7" s="1"/>
  <c r="F40" i="7"/>
  <c r="G81" i="7"/>
  <c r="D84" i="7"/>
  <c r="J82" i="7"/>
  <c r="K82" i="7" s="1"/>
  <c r="D85" i="7"/>
  <c r="G85" i="7" s="1"/>
  <c r="G88" i="7"/>
  <c r="I40" i="7"/>
  <c r="K40" i="7" s="1"/>
  <c r="I84" i="7"/>
  <c r="F84" i="7"/>
  <c r="I54" i="7"/>
  <c r="F54" i="7"/>
  <c r="C64" i="7"/>
  <c r="I64" i="7" s="1"/>
  <c r="F19" i="8"/>
  <c r="J83" i="7"/>
  <c r="K83" i="7" s="1"/>
  <c r="C91" i="7"/>
  <c r="F91" i="7" s="1"/>
  <c r="C88" i="7"/>
  <c r="F88" i="7" s="1"/>
  <c r="I85" i="7"/>
  <c r="G89" i="7"/>
  <c r="D129" i="7"/>
  <c r="F129" i="7" s="1"/>
  <c r="Q19" i="8"/>
  <c r="H22" i="8"/>
  <c r="J22" i="8" s="1"/>
  <c r="J23" i="8" s="1"/>
  <c r="J24" i="8" s="1"/>
  <c r="F23" i="8"/>
  <c r="I59" i="7"/>
  <c r="C60" i="7"/>
  <c r="C29" i="8" s="1"/>
  <c r="C32" i="8" s="1"/>
  <c r="C35" i="8" s="1"/>
  <c r="C37" i="8" s="1"/>
  <c r="C40" i="8" s="1"/>
  <c r="I19" i="8"/>
  <c r="K19" i="8" s="1"/>
  <c r="K20" i="8" s="1"/>
  <c r="K21" i="8" s="1"/>
  <c r="C20" i="8"/>
  <c r="F20" i="8" s="1"/>
  <c r="G28" i="8"/>
  <c r="G25" i="8"/>
  <c r="G58" i="7"/>
  <c r="D59" i="7"/>
  <c r="D34" i="8" s="1"/>
  <c r="D35" i="8" s="1"/>
  <c r="D37" i="8" s="1"/>
  <c r="G53" i="7"/>
  <c r="D54" i="7"/>
  <c r="J58" i="7"/>
  <c r="K58" i="7" s="1"/>
  <c r="D63" i="7"/>
  <c r="D64" i="7" s="1"/>
  <c r="J61" i="7"/>
  <c r="G60" i="7"/>
  <c r="J53" i="7"/>
  <c r="K53" i="7" s="1"/>
  <c r="J84" i="7" l="1"/>
  <c r="D89" i="8"/>
  <c r="J88" i="7"/>
  <c r="D90" i="7"/>
  <c r="G34" i="8"/>
  <c r="F89" i="8"/>
  <c r="D79" i="8"/>
  <c r="G76" i="8"/>
  <c r="R25" i="8"/>
  <c r="S25" i="8" s="1"/>
  <c r="I43" i="7"/>
  <c r="K43" i="7" s="1"/>
  <c r="D38" i="8"/>
  <c r="D40" i="8"/>
  <c r="D43" i="8" s="1"/>
  <c r="C77" i="7"/>
  <c r="AB56" i="8"/>
  <c r="AD56" i="8" s="1"/>
  <c r="AE56" i="8" s="1"/>
  <c r="C58" i="8"/>
  <c r="C61" i="8" s="1"/>
  <c r="C64" i="8" s="1"/>
  <c r="C67" i="8" s="1"/>
  <c r="C68" i="8" s="1"/>
  <c r="C43" i="8"/>
  <c r="C44" i="8" s="1"/>
  <c r="C41" i="8"/>
  <c r="AE55" i="8"/>
  <c r="C26" i="8"/>
  <c r="F26" i="8" s="1"/>
  <c r="C52" i="8"/>
  <c r="C55" i="8"/>
  <c r="C50" i="8"/>
  <c r="D65" i="8"/>
  <c r="D71" i="8"/>
  <c r="F41" i="7"/>
  <c r="I42" i="7"/>
  <c r="K42" i="7" s="1"/>
  <c r="G84" i="7"/>
  <c r="J85" i="7"/>
  <c r="K85" i="7" s="1"/>
  <c r="K84" i="7"/>
  <c r="F63" i="7"/>
  <c r="C67" i="7"/>
  <c r="F67" i="7" s="1"/>
  <c r="F60" i="7"/>
  <c r="R19" i="8"/>
  <c r="S19" i="8" s="1"/>
  <c r="Q21" i="8"/>
  <c r="F25" i="8"/>
  <c r="C89" i="7"/>
  <c r="C45" i="7" s="1"/>
  <c r="C91" i="8" s="1"/>
  <c r="I88" i="7"/>
  <c r="J89" i="7"/>
  <c r="Q20" i="8"/>
  <c r="R20" i="8" s="1"/>
  <c r="R24" i="8"/>
  <c r="S24" i="8" s="1"/>
  <c r="R26" i="8"/>
  <c r="S26" i="8" s="1"/>
  <c r="H129" i="7"/>
  <c r="G129" i="7"/>
  <c r="I61" i="7"/>
  <c r="K61" i="7" s="1"/>
  <c r="I60" i="7"/>
  <c r="H19" i="8"/>
  <c r="J19" i="8" s="1"/>
  <c r="J20" i="8" s="1"/>
  <c r="J21" i="8" s="1"/>
  <c r="G31" i="8"/>
  <c r="I25" i="8"/>
  <c r="K25" i="8" s="1"/>
  <c r="K26" i="8" s="1"/>
  <c r="K27" i="8" s="1"/>
  <c r="I28" i="8"/>
  <c r="K28" i="8" s="1"/>
  <c r="K29" i="8" s="1"/>
  <c r="K30" i="8" s="1"/>
  <c r="J55" i="7"/>
  <c r="K55" i="7" s="1"/>
  <c r="G54" i="7"/>
  <c r="J64" i="7"/>
  <c r="K64" i="7" s="1"/>
  <c r="D67" i="7"/>
  <c r="G67" i="7" s="1"/>
  <c r="D66" i="7"/>
  <c r="G63" i="7"/>
  <c r="J54" i="7"/>
  <c r="K54" i="7" s="1"/>
  <c r="J60" i="7"/>
  <c r="G59" i="7"/>
  <c r="J59" i="7"/>
  <c r="K59" i="7" s="1"/>
  <c r="F64" i="7"/>
  <c r="C65" i="7"/>
  <c r="I65" i="7" s="1"/>
  <c r="G90" i="7" l="1"/>
  <c r="D88" i="8"/>
  <c r="J90" i="7"/>
  <c r="K88" i="7"/>
  <c r="H46" i="6" s="1"/>
  <c r="K46" i="6" s="1"/>
  <c r="D91" i="7"/>
  <c r="J91" i="7" s="1"/>
  <c r="F58" i="8"/>
  <c r="AF56" i="8"/>
  <c r="AG56" i="8" s="1"/>
  <c r="D56" i="8" s="1"/>
  <c r="H25" i="8"/>
  <c r="J25" i="8" s="1"/>
  <c r="J26" i="8" s="1"/>
  <c r="J27" i="8" s="1"/>
  <c r="H91" i="8"/>
  <c r="J91" i="8" s="1"/>
  <c r="J92" i="8" s="1"/>
  <c r="J93" i="8" s="1"/>
  <c r="F91" i="8"/>
  <c r="Q27" i="8"/>
  <c r="Q28" i="8" s="1"/>
  <c r="Q29" i="8" s="1"/>
  <c r="G79" i="8"/>
  <c r="C78" i="7"/>
  <c r="AB83" i="8" s="1"/>
  <c r="Z83" i="8"/>
  <c r="C70" i="8"/>
  <c r="C73" i="8" s="1"/>
  <c r="C76" i="8" s="1"/>
  <c r="C79" i="8" s="1"/>
  <c r="C59" i="8"/>
  <c r="F55" i="8"/>
  <c r="G88" i="8"/>
  <c r="D74" i="8"/>
  <c r="G32" i="8"/>
  <c r="I34" i="8"/>
  <c r="K34" i="8" s="1"/>
  <c r="K35" i="8" s="1"/>
  <c r="K36" i="8" s="1"/>
  <c r="C46" i="7"/>
  <c r="C69" i="7" s="1"/>
  <c r="C49" i="7"/>
  <c r="F49" i="7" s="1"/>
  <c r="C48" i="7"/>
  <c r="F45" i="7"/>
  <c r="I89" i="7"/>
  <c r="K89" i="7" s="1"/>
  <c r="F89" i="7"/>
  <c r="Q22" i="8"/>
  <c r="Q23" i="8" s="1"/>
  <c r="R23" i="8" s="1"/>
  <c r="S23" i="8" s="1"/>
  <c r="H7" i="8"/>
  <c r="F11" i="6"/>
  <c r="F29" i="8"/>
  <c r="Q30" i="8"/>
  <c r="Q31" i="8" s="1"/>
  <c r="Q32" i="8" s="1"/>
  <c r="F61" i="8"/>
  <c r="R21" i="8"/>
  <c r="S21" i="8" s="1"/>
  <c r="S20" i="8"/>
  <c r="C90" i="7"/>
  <c r="C88" i="8" s="1"/>
  <c r="G35" i="8"/>
  <c r="H28" i="8"/>
  <c r="F28" i="8"/>
  <c r="K60" i="7"/>
  <c r="M24" i="8"/>
  <c r="M25" i="8" s="1"/>
  <c r="M26" i="8" s="1"/>
  <c r="M21" i="8"/>
  <c r="M22" i="8" s="1"/>
  <c r="M23" i="8" s="1"/>
  <c r="G38" i="8"/>
  <c r="I31" i="8"/>
  <c r="K31" i="8" s="1"/>
  <c r="K32" i="8" s="1"/>
  <c r="K33" i="8" s="1"/>
  <c r="C134" i="7"/>
  <c r="F134" i="7" s="1"/>
  <c r="C139" i="7"/>
  <c r="F139" i="7" s="1"/>
  <c r="C136" i="7"/>
  <c r="F136" i="7" s="1"/>
  <c r="C142" i="7"/>
  <c r="F142" i="7" s="1"/>
  <c r="J67" i="7"/>
  <c r="G66" i="7"/>
  <c r="D73" i="7"/>
  <c r="G73" i="7" s="1"/>
  <c r="G69" i="7"/>
  <c r="F65" i="7"/>
  <c r="C66" i="7"/>
  <c r="G64" i="7"/>
  <c r="D65" i="7"/>
  <c r="J65" i="7" s="1"/>
  <c r="K65" i="7" s="1"/>
  <c r="G91" i="7" l="1"/>
  <c r="M27" i="8"/>
  <c r="M28" i="8" s="1"/>
  <c r="M29" i="8" s="1"/>
  <c r="R27" i="8"/>
  <c r="S27" i="8" s="1"/>
  <c r="C56" i="8"/>
  <c r="C53" i="8" s="1"/>
  <c r="AD83" i="8"/>
  <c r="AE83" i="8" s="1"/>
  <c r="AF83" i="8" s="1"/>
  <c r="C83" i="8" s="1"/>
  <c r="F79" i="8"/>
  <c r="H79" i="8"/>
  <c r="J79" i="8" s="1"/>
  <c r="J80" i="8" s="1"/>
  <c r="J81" i="8" s="1"/>
  <c r="C70" i="7"/>
  <c r="I70" i="7" s="1"/>
  <c r="F69" i="7"/>
  <c r="C73" i="7"/>
  <c r="F73" i="7" s="1"/>
  <c r="D80" i="8"/>
  <c r="D77" i="8" s="1"/>
  <c r="C71" i="8"/>
  <c r="C74" i="8" s="1"/>
  <c r="H88" i="8"/>
  <c r="J88" i="8" s="1"/>
  <c r="J89" i="8" s="1"/>
  <c r="J90" i="8" s="1"/>
  <c r="F88" i="8"/>
  <c r="D59" i="8"/>
  <c r="D62" i="8" s="1"/>
  <c r="C62" i="8"/>
  <c r="C65" i="8" s="1"/>
  <c r="I88" i="8"/>
  <c r="G89" i="8"/>
  <c r="M30" i="8"/>
  <c r="M31" i="8" s="1"/>
  <c r="M32" i="8" s="1"/>
  <c r="J28" i="8"/>
  <c r="J29" i="8" s="1"/>
  <c r="J30" i="8" s="1"/>
  <c r="I49" i="7"/>
  <c r="K49" i="7" s="1"/>
  <c r="F48" i="7"/>
  <c r="F46" i="7"/>
  <c r="C47" i="7"/>
  <c r="I47" i="7" s="1"/>
  <c r="K47" i="7" s="1"/>
  <c r="I46" i="7"/>
  <c r="K46" i="7" s="1"/>
  <c r="I90" i="7"/>
  <c r="K90" i="7" s="1"/>
  <c r="F90" i="7"/>
  <c r="F32" i="8"/>
  <c r="Q33" i="8"/>
  <c r="Q34" i="8" s="1"/>
  <c r="Q35" i="8" s="1"/>
  <c r="G40" i="8"/>
  <c r="G61" i="8"/>
  <c r="H49" i="8"/>
  <c r="J49" i="8" s="1"/>
  <c r="J50" i="8" s="1"/>
  <c r="J51" i="8" s="1"/>
  <c r="F64" i="8"/>
  <c r="I91" i="7"/>
  <c r="K91" i="7" s="1"/>
  <c r="F31" i="8"/>
  <c r="F49" i="8"/>
  <c r="R30" i="8"/>
  <c r="S30" i="8" s="1"/>
  <c r="H31" i="8"/>
  <c r="N21" i="8"/>
  <c r="R22" i="8"/>
  <c r="S22" i="8" s="1"/>
  <c r="R32" i="8"/>
  <c r="S32" i="8" s="1"/>
  <c r="R31" i="8"/>
  <c r="S31" i="8" s="1"/>
  <c r="R29" i="8"/>
  <c r="S29" i="8" s="1"/>
  <c r="R28" i="8"/>
  <c r="S28" i="8" s="1"/>
  <c r="C79" i="7"/>
  <c r="F79" i="7" s="1"/>
  <c r="F75" i="7"/>
  <c r="I76" i="7"/>
  <c r="J73" i="7"/>
  <c r="G72" i="7"/>
  <c r="C137" i="7"/>
  <c r="F137" i="7" s="1"/>
  <c r="C143" i="7"/>
  <c r="F143" i="7" s="1"/>
  <c r="C146" i="7"/>
  <c r="F146" i="7" s="1"/>
  <c r="C141" i="7"/>
  <c r="F141" i="7" s="1"/>
  <c r="J66" i="7"/>
  <c r="G65" i="7"/>
  <c r="I67" i="7"/>
  <c r="K67" i="7" s="1"/>
  <c r="F66" i="7"/>
  <c r="G70" i="7"/>
  <c r="J71" i="7"/>
  <c r="I66" i="7"/>
  <c r="J70" i="7"/>
  <c r="C71" i="7" l="1"/>
  <c r="F70" i="7"/>
  <c r="K70" i="7"/>
  <c r="F83" i="8"/>
  <c r="H82" i="8"/>
  <c r="J82" i="8" s="1"/>
  <c r="J83" i="8" s="1"/>
  <c r="J84" i="8" s="1"/>
  <c r="D97" i="7"/>
  <c r="C100" i="7" s="1"/>
  <c r="F100" i="7" s="1"/>
  <c r="AG83" i="8"/>
  <c r="D83" i="8" s="1"/>
  <c r="K88" i="8"/>
  <c r="K89" i="8" s="1"/>
  <c r="K90" i="8" s="1"/>
  <c r="M93" i="8"/>
  <c r="M33" i="8"/>
  <c r="M34" i="8" s="1"/>
  <c r="M35" i="8" s="1"/>
  <c r="J31" i="8"/>
  <c r="J32" i="8" s="1"/>
  <c r="J33" i="8" s="1"/>
  <c r="F87" i="7"/>
  <c r="I48" i="7"/>
  <c r="K48" i="7" s="1"/>
  <c r="F47" i="7"/>
  <c r="F77" i="8"/>
  <c r="F76" i="8"/>
  <c r="H52" i="8"/>
  <c r="J52" i="8" s="1"/>
  <c r="J53" i="8" s="1"/>
  <c r="J54" i="8" s="1"/>
  <c r="N24" i="8"/>
  <c r="N25" i="8" s="1"/>
  <c r="N26" i="8" s="1"/>
  <c r="F35" i="8"/>
  <c r="Q36" i="8"/>
  <c r="Q37" i="8" s="1"/>
  <c r="Q38" i="8" s="1"/>
  <c r="F50" i="8"/>
  <c r="G64" i="8"/>
  <c r="G37" i="8"/>
  <c r="G43" i="8"/>
  <c r="F52" i="8"/>
  <c r="F34" i="8"/>
  <c r="F38" i="8"/>
  <c r="H34" i="8"/>
  <c r="I61" i="8"/>
  <c r="K61" i="8" s="1"/>
  <c r="K62" i="8" s="1"/>
  <c r="K63" i="8" s="1"/>
  <c r="G62" i="8"/>
  <c r="I40" i="8"/>
  <c r="K40" i="8" s="1"/>
  <c r="K41" i="8" s="1"/>
  <c r="K42" i="8" s="1"/>
  <c r="G41" i="8"/>
  <c r="N22" i="8"/>
  <c r="N23" i="8" s="1"/>
  <c r="R33" i="8"/>
  <c r="S33" i="8" s="1"/>
  <c r="C144" i="7"/>
  <c r="F144" i="7" s="1"/>
  <c r="C138" i="7"/>
  <c r="F138" i="7" s="1"/>
  <c r="R34" i="8"/>
  <c r="S34" i="8" s="1"/>
  <c r="R35" i="8"/>
  <c r="S35" i="8" s="1"/>
  <c r="I37" i="8"/>
  <c r="K37" i="8" s="1"/>
  <c r="K38" i="8" s="1"/>
  <c r="K39" i="8" s="1"/>
  <c r="G44" i="8"/>
  <c r="J72" i="7"/>
  <c r="G71" i="7"/>
  <c r="F76" i="7"/>
  <c r="I77" i="7"/>
  <c r="F78" i="7"/>
  <c r="I79" i="7"/>
  <c r="D79" i="7"/>
  <c r="G79" i="7" s="1"/>
  <c r="G75" i="7"/>
  <c r="K66" i="7"/>
  <c r="G97" i="7" l="1"/>
  <c r="C72" i="7"/>
  <c r="I72" i="7" s="1"/>
  <c r="K72" i="7" s="1"/>
  <c r="I71" i="7"/>
  <c r="K71" i="7" s="1"/>
  <c r="F71" i="7"/>
  <c r="M91" i="8"/>
  <c r="M92" i="8" s="1"/>
  <c r="M36" i="8"/>
  <c r="M37" i="8" s="1"/>
  <c r="M38" i="8" s="1"/>
  <c r="J34" i="8"/>
  <c r="J35" i="8" s="1"/>
  <c r="J36" i="8" s="1"/>
  <c r="F56" i="8"/>
  <c r="N27" i="8"/>
  <c r="N30" i="8" s="1"/>
  <c r="H76" i="8"/>
  <c r="J76" i="8" s="1"/>
  <c r="J77" i="8" s="1"/>
  <c r="J78" i="8" s="1"/>
  <c r="F53" i="8"/>
  <c r="Q39" i="8"/>
  <c r="Q40" i="8" s="1"/>
  <c r="Q41" i="8" s="1"/>
  <c r="G46" i="8"/>
  <c r="G50" i="8"/>
  <c r="F37" i="8"/>
  <c r="H37" i="8"/>
  <c r="J37" i="8" s="1"/>
  <c r="J38" i="8" s="1"/>
  <c r="J39" i="8" s="1"/>
  <c r="R36" i="8"/>
  <c r="S36" i="8" s="1"/>
  <c r="F41" i="8"/>
  <c r="I64" i="8"/>
  <c r="K64" i="8" s="1"/>
  <c r="K65" i="8" s="1"/>
  <c r="K66" i="8" s="1"/>
  <c r="G65" i="8"/>
  <c r="C149" i="7"/>
  <c r="F149" i="7" s="1"/>
  <c r="C145" i="7"/>
  <c r="F145" i="7" s="1"/>
  <c r="R37" i="8"/>
  <c r="S37" i="8" s="1"/>
  <c r="R38" i="8"/>
  <c r="S38" i="8" s="1"/>
  <c r="Q51" i="8"/>
  <c r="Q52" i="8" s="1"/>
  <c r="Q53" i="8" s="1"/>
  <c r="G47" i="8"/>
  <c r="I43" i="8"/>
  <c r="K43" i="8" s="1"/>
  <c r="K44" i="8" s="1"/>
  <c r="K45" i="8" s="1"/>
  <c r="J77" i="7"/>
  <c r="K77" i="7" s="1"/>
  <c r="G76" i="7"/>
  <c r="J76" i="7"/>
  <c r="K76" i="7" s="1"/>
  <c r="I78" i="7"/>
  <c r="F77" i="7"/>
  <c r="F72" i="7" l="1"/>
  <c r="I73" i="7"/>
  <c r="K73" i="7" s="1"/>
  <c r="E11" i="8"/>
  <c r="G11" i="8" s="1"/>
  <c r="N91" i="8"/>
  <c r="N92" i="8" s="1"/>
  <c r="N93" i="8"/>
  <c r="E12" i="8" s="1"/>
  <c r="H55" i="8"/>
  <c r="J55" i="8" s="1"/>
  <c r="J56" i="8" s="1"/>
  <c r="J57" i="8" s="1"/>
  <c r="F59" i="8"/>
  <c r="N28" i="8"/>
  <c r="N29" i="8" s="1"/>
  <c r="M39" i="8"/>
  <c r="M40" i="8" s="1"/>
  <c r="M41" i="8" s="1"/>
  <c r="Q42" i="8"/>
  <c r="Q43" i="8" s="1"/>
  <c r="Q44" i="8" s="1"/>
  <c r="F44" i="8"/>
  <c r="G68" i="8"/>
  <c r="G53" i="8"/>
  <c r="F40" i="8"/>
  <c r="G49" i="8"/>
  <c r="H40" i="8"/>
  <c r="J40" i="8" s="1"/>
  <c r="J41" i="8" s="1"/>
  <c r="J42" i="8" s="1"/>
  <c r="R39" i="8"/>
  <c r="S39" i="8" s="1"/>
  <c r="C148" i="7"/>
  <c r="F148" i="7" s="1"/>
  <c r="I46" i="8"/>
  <c r="K46" i="8" s="1"/>
  <c r="K47" i="8" s="1"/>
  <c r="K48" i="8" s="1"/>
  <c r="R41" i="8"/>
  <c r="S41" i="8" s="1"/>
  <c r="R40" i="8"/>
  <c r="S40" i="8" s="1"/>
  <c r="I67" i="8"/>
  <c r="K67" i="8" s="1"/>
  <c r="K68" i="8" s="1"/>
  <c r="K69" i="8" s="1"/>
  <c r="G56" i="8"/>
  <c r="Q54" i="8"/>
  <c r="Q55" i="8" s="1"/>
  <c r="Q56" i="8" s="1"/>
  <c r="I49" i="8"/>
  <c r="K49" i="8" s="1"/>
  <c r="K50" i="8" s="1"/>
  <c r="K51" i="8" s="1"/>
  <c r="N33" i="8"/>
  <c r="N31" i="8"/>
  <c r="G77" i="7"/>
  <c r="J78" i="7"/>
  <c r="K78" i="7" s="1"/>
  <c r="H58" i="8" l="1"/>
  <c r="J58" i="8" s="1"/>
  <c r="J59" i="8" s="1"/>
  <c r="J60" i="8" s="1"/>
  <c r="Q63" i="8"/>
  <c r="Q64" i="8" s="1"/>
  <c r="Q65" i="8" s="1"/>
  <c r="I76" i="8"/>
  <c r="K76" i="8" s="1"/>
  <c r="K77" i="8" s="1"/>
  <c r="K78" i="8" s="1"/>
  <c r="Q78" i="8"/>
  <c r="R78" i="8" s="1"/>
  <c r="S78" i="8" s="1"/>
  <c r="G77" i="8"/>
  <c r="R42" i="8"/>
  <c r="S42" i="8" s="1"/>
  <c r="H43" i="8"/>
  <c r="F47" i="8"/>
  <c r="Q45" i="8"/>
  <c r="Q46" i="8" s="1"/>
  <c r="Q47" i="8" s="1"/>
  <c r="G71" i="8"/>
  <c r="F46" i="8"/>
  <c r="G52" i="8"/>
  <c r="F43" i="8"/>
  <c r="M42" i="8"/>
  <c r="M43" i="8" s="1"/>
  <c r="M44" i="8" s="1"/>
  <c r="I52" i="8"/>
  <c r="K52" i="8" s="1"/>
  <c r="K53" i="8" s="1"/>
  <c r="K54" i="8" s="1"/>
  <c r="Q57" i="8"/>
  <c r="R43" i="8"/>
  <c r="S43" i="8" s="1"/>
  <c r="R44" i="8"/>
  <c r="S44" i="8" s="1"/>
  <c r="G59" i="8"/>
  <c r="I70" i="8"/>
  <c r="K70" i="8" s="1"/>
  <c r="K71" i="8" s="1"/>
  <c r="K72" i="8" s="1"/>
  <c r="N32" i="8"/>
  <c r="R51" i="8"/>
  <c r="S51" i="8" s="1"/>
  <c r="N34" i="8"/>
  <c r="N36" i="8"/>
  <c r="J79" i="7"/>
  <c r="K79" i="7" s="1"/>
  <c r="G78" i="7"/>
  <c r="Q58" i="8" l="1"/>
  <c r="Q59" i="8" s="1"/>
  <c r="D8" i="8"/>
  <c r="M45" i="8"/>
  <c r="M46" i="8" s="1"/>
  <c r="M47" i="8" s="1"/>
  <c r="J43" i="8"/>
  <c r="J44" i="8" s="1"/>
  <c r="J45" i="8" s="1"/>
  <c r="H61" i="8"/>
  <c r="J61" i="8" s="1"/>
  <c r="J62" i="8" s="1"/>
  <c r="J63" i="8" s="1"/>
  <c r="Q66" i="8"/>
  <c r="Q67" i="8" s="1"/>
  <c r="Q68" i="8" s="1"/>
  <c r="F62" i="8"/>
  <c r="Q79" i="8"/>
  <c r="Q80" i="8" s="1"/>
  <c r="Q48" i="8"/>
  <c r="H46" i="8"/>
  <c r="R45" i="8"/>
  <c r="S45" i="8" s="1"/>
  <c r="Q60" i="8"/>
  <c r="Q61" i="8" s="1"/>
  <c r="Q62" i="8" s="1"/>
  <c r="G74" i="8"/>
  <c r="G58" i="8"/>
  <c r="G55" i="8"/>
  <c r="I55" i="8"/>
  <c r="K55" i="8" s="1"/>
  <c r="K56" i="8" s="1"/>
  <c r="K57" i="8" s="1"/>
  <c r="N39" i="8"/>
  <c r="N37" i="8"/>
  <c r="M54" i="8"/>
  <c r="M55" i="8" s="1"/>
  <c r="M56" i="8" s="1"/>
  <c r="Q81" i="8"/>
  <c r="Q82" i="8" s="1"/>
  <c r="Q83" i="8" s="1"/>
  <c r="R52" i="8"/>
  <c r="S52" i="8" s="1"/>
  <c r="R53" i="8"/>
  <c r="S53" i="8" s="1"/>
  <c r="N35" i="8"/>
  <c r="I58" i="8"/>
  <c r="K58" i="8" s="1"/>
  <c r="K59" i="8" s="1"/>
  <c r="K60" i="8" s="1"/>
  <c r="R47" i="8"/>
  <c r="S47" i="8" s="1"/>
  <c r="R46" i="8"/>
  <c r="S46" i="8" s="1"/>
  <c r="I73" i="8"/>
  <c r="K73" i="8" s="1"/>
  <c r="K74" i="8" s="1"/>
  <c r="K75" i="8" s="1"/>
  <c r="R63" i="8"/>
  <c r="S63" i="8" s="1"/>
  <c r="R54" i="8"/>
  <c r="S54" i="8" s="1"/>
  <c r="Q49" i="8" l="1"/>
  <c r="Q50" i="8" s="1"/>
  <c r="R50" i="8" s="1"/>
  <c r="S50" i="8" s="1"/>
  <c r="M51" i="8"/>
  <c r="M52" i="8" s="1"/>
  <c r="M53" i="8" s="1"/>
  <c r="J46" i="8"/>
  <c r="J47" i="8" s="1"/>
  <c r="J48" i="8" s="1"/>
  <c r="F65" i="8"/>
  <c r="F68" i="8"/>
  <c r="H64" i="8"/>
  <c r="M48" i="8"/>
  <c r="M49" i="8" s="1"/>
  <c r="M50" i="8" s="1"/>
  <c r="R48" i="8"/>
  <c r="S48" i="8" s="1"/>
  <c r="G80" i="8"/>
  <c r="R60" i="8"/>
  <c r="S60" i="8" s="1"/>
  <c r="N40" i="8"/>
  <c r="N42" i="8"/>
  <c r="N38" i="8"/>
  <c r="R57" i="8"/>
  <c r="S57" i="8" s="1"/>
  <c r="Q84" i="8"/>
  <c r="D9" i="8" s="1"/>
  <c r="D13" i="6" s="1"/>
  <c r="D78" i="6" s="1"/>
  <c r="I79" i="8"/>
  <c r="K79" i="8" s="1"/>
  <c r="K80" i="8" s="1"/>
  <c r="K81" i="8" s="1"/>
  <c r="M60" i="8"/>
  <c r="M61" i="8" s="1"/>
  <c r="M62" i="8" s="1"/>
  <c r="R66" i="8"/>
  <c r="S66" i="8" s="1"/>
  <c r="M57" i="8"/>
  <c r="M58" i="8" s="1"/>
  <c r="M59" i="8" s="1"/>
  <c r="R65" i="8"/>
  <c r="S65" i="8" s="1"/>
  <c r="R64" i="8"/>
  <c r="S64" i="8" s="1"/>
  <c r="M63" i="8"/>
  <c r="M64" i="8" s="1"/>
  <c r="M65" i="8" s="1"/>
  <c r="R56" i="8"/>
  <c r="S56" i="8" s="1"/>
  <c r="R55" i="8"/>
  <c r="S55" i="8" s="1"/>
  <c r="R49" i="8" l="1"/>
  <c r="S49" i="8" s="1"/>
  <c r="J81" i="6"/>
  <c r="J78" i="6"/>
  <c r="M66" i="8"/>
  <c r="M67" i="8" s="1"/>
  <c r="M68" i="8" s="1"/>
  <c r="J64" i="8"/>
  <c r="J65" i="8" s="1"/>
  <c r="J66" i="8" s="1"/>
  <c r="Q69" i="8"/>
  <c r="Q70" i="8" s="1"/>
  <c r="Q71" i="8" s="1"/>
  <c r="F71" i="8"/>
  <c r="H67" i="8"/>
  <c r="J67" i="8" s="1"/>
  <c r="J68" i="8" s="1"/>
  <c r="J69" i="8" s="1"/>
  <c r="F67" i="8"/>
  <c r="G83" i="8"/>
  <c r="R58" i="8"/>
  <c r="S58" i="8" s="1"/>
  <c r="R59" i="8"/>
  <c r="S59" i="8" s="1"/>
  <c r="R80" i="8"/>
  <c r="S80" i="8" s="1"/>
  <c r="R79" i="8"/>
  <c r="S79" i="8" s="1"/>
  <c r="N43" i="8"/>
  <c r="N45" i="8"/>
  <c r="M81" i="8"/>
  <c r="M82" i="8" s="1"/>
  <c r="M83" i="8" s="1"/>
  <c r="I82" i="8"/>
  <c r="K82" i="8" s="1"/>
  <c r="K83" i="8" s="1"/>
  <c r="K84" i="8" s="1"/>
  <c r="R61" i="8"/>
  <c r="S61" i="8" s="1"/>
  <c r="R62" i="8"/>
  <c r="S62" i="8" s="1"/>
  <c r="R81" i="8"/>
  <c r="S81" i="8" s="1"/>
  <c r="N41" i="8"/>
  <c r="R67" i="8"/>
  <c r="S67" i="8" s="1"/>
  <c r="R68" i="8"/>
  <c r="S68" i="8" s="1"/>
  <c r="F74" i="8" l="1"/>
  <c r="H70" i="8"/>
  <c r="Q72" i="8"/>
  <c r="Q73" i="8" s="1"/>
  <c r="Q74" i="8" s="1"/>
  <c r="M69" i="8"/>
  <c r="M70" i="8" s="1"/>
  <c r="M71" i="8" s="1"/>
  <c r="R69" i="8"/>
  <c r="S69" i="8" s="1"/>
  <c r="F70" i="8"/>
  <c r="Q88" i="8"/>
  <c r="Q89" i="8" s="1"/>
  <c r="F73" i="8"/>
  <c r="R71" i="8"/>
  <c r="S71" i="8" s="1"/>
  <c r="R70" i="8"/>
  <c r="S70" i="8" s="1"/>
  <c r="R84" i="8"/>
  <c r="S84" i="8" s="1"/>
  <c r="M84" i="8"/>
  <c r="N48" i="8"/>
  <c r="N46" i="8"/>
  <c r="R82" i="8"/>
  <c r="S82" i="8" s="1"/>
  <c r="R83" i="8"/>
  <c r="S83" i="8" s="1"/>
  <c r="N44" i="8"/>
  <c r="M72" i="8" l="1"/>
  <c r="M73" i="8" s="1"/>
  <c r="M74" i="8" s="1"/>
  <c r="J70" i="8"/>
  <c r="J71" i="8" s="1"/>
  <c r="J72" i="8" s="1"/>
  <c r="Q75" i="8"/>
  <c r="Q76" i="8" s="1"/>
  <c r="Q77" i="8" s="1"/>
  <c r="R77" i="8" s="1"/>
  <c r="S77" i="8" s="1"/>
  <c r="H73" i="8"/>
  <c r="R72" i="8"/>
  <c r="S72" i="8" s="1"/>
  <c r="Q90" i="8"/>
  <c r="N47" i="8"/>
  <c r="R74" i="8"/>
  <c r="S74" i="8" s="1"/>
  <c r="R73" i="8"/>
  <c r="S73" i="8" s="1"/>
  <c r="N49" i="8"/>
  <c r="N51" i="8"/>
  <c r="Q91" i="8" l="1"/>
  <c r="Q92" i="8" s="1"/>
  <c r="D11" i="8"/>
  <c r="M78" i="8"/>
  <c r="M79" i="8" s="1"/>
  <c r="M80" i="8" s="1"/>
  <c r="J73" i="8"/>
  <c r="J74" i="8" s="1"/>
  <c r="J75" i="8" s="1"/>
  <c r="M75" i="8"/>
  <c r="M76" i="8" s="1"/>
  <c r="M77" i="8" s="1"/>
  <c r="R76" i="8"/>
  <c r="S76" i="8" s="1"/>
  <c r="R75" i="8"/>
  <c r="S75" i="8" s="1"/>
  <c r="N54" i="8"/>
  <c r="N52" i="8"/>
  <c r="N50" i="8"/>
  <c r="N57" i="8" l="1"/>
  <c r="E8" i="8" s="1"/>
  <c r="N55" i="8"/>
  <c r="N53" i="8"/>
  <c r="G8" i="8" l="1"/>
  <c r="D17" i="6" s="1"/>
  <c r="N56" i="8"/>
  <c r="N58" i="8"/>
  <c r="N60" i="8"/>
  <c r="D75" i="6" l="1"/>
  <c r="J75" i="6" s="1"/>
  <c r="F17" i="6"/>
  <c r="D135" i="7"/>
  <c r="N59" i="8"/>
  <c r="N61" i="8"/>
  <c r="N63" i="8"/>
  <c r="D136" i="7" l="1"/>
  <c r="D139" i="7"/>
  <c r="G139" i="7" s="1"/>
  <c r="G135" i="7"/>
  <c r="D142" i="7"/>
  <c r="D134" i="7"/>
  <c r="G134" i="7" s="1"/>
  <c r="N62" i="8"/>
  <c r="N64" i="8"/>
  <c r="N66" i="8"/>
  <c r="G142" i="7" l="1"/>
  <c r="D141" i="7"/>
  <c r="G141" i="7" s="1"/>
  <c r="D146" i="7"/>
  <c r="G146" i="7" s="1"/>
  <c r="D143" i="7"/>
  <c r="G136" i="7"/>
  <c r="D137" i="7"/>
  <c r="N65" i="8"/>
  <c r="N67" i="8"/>
  <c r="N69" i="8"/>
  <c r="G143" i="7" l="1"/>
  <c r="D144" i="7"/>
  <c r="D138" i="7"/>
  <c r="G137" i="7"/>
  <c r="N68" i="8"/>
  <c r="N72" i="8"/>
  <c r="N70" i="8"/>
  <c r="G138" i="7" l="1"/>
  <c r="D149" i="7"/>
  <c r="G149" i="7" s="1"/>
  <c r="D145" i="7"/>
  <c r="G144" i="7"/>
  <c r="N71" i="8"/>
  <c r="N73" i="8"/>
  <c r="N75" i="8"/>
  <c r="G145" i="7" l="1"/>
  <c r="D148" i="7"/>
  <c r="G148" i="7" s="1"/>
  <c r="N76" i="8"/>
  <c r="N78" i="8"/>
  <c r="N74" i="8"/>
  <c r="N77" i="8" l="1"/>
  <c r="N81" i="8"/>
  <c r="N79" i="8"/>
  <c r="N80" i="8" l="1"/>
  <c r="N82" i="8"/>
  <c r="N84" i="8"/>
  <c r="E9" i="8" l="1"/>
  <c r="U82" i="8" s="1"/>
  <c r="N83" i="8"/>
  <c r="U83" i="8" l="1"/>
  <c r="U60" i="8"/>
  <c r="U58" i="8"/>
  <c r="U63" i="8"/>
  <c r="U61" i="8"/>
  <c r="U59" i="8"/>
  <c r="U62" i="8"/>
  <c r="U66" i="8"/>
  <c r="U64" i="8"/>
  <c r="U69" i="8"/>
  <c r="U67" i="8"/>
  <c r="U65" i="8"/>
  <c r="U70" i="8"/>
  <c r="U68" i="8"/>
  <c r="U72" i="8"/>
  <c r="U75" i="8"/>
  <c r="U71" i="8"/>
  <c r="U73" i="8"/>
  <c r="U74" i="8"/>
  <c r="U78" i="8"/>
  <c r="U76" i="8"/>
  <c r="U77" i="8"/>
  <c r="U79" i="8"/>
  <c r="U81" i="8"/>
  <c r="U84" i="8"/>
  <c r="U80" i="8"/>
  <c r="Q93" i="8"/>
  <c r="D12" i="8" s="1"/>
  <c r="D16" i="6" s="1"/>
  <c r="D86" i="6" s="1"/>
  <c r="F13" i="6" l="1"/>
  <c r="H9" i="8"/>
  <c r="T64" i="8" l="1"/>
  <c r="T44" i="8"/>
  <c r="T60" i="8"/>
  <c r="T27" i="8"/>
  <c r="T22" i="8"/>
  <c r="T72" i="8"/>
  <c r="I45" i="6" s="1"/>
  <c r="T18" i="8"/>
  <c r="T70" i="8"/>
  <c r="V78" i="8"/>
  <c r="T39" i="8"/>
  <c r="V77" i="8"/>
  <c r="T59" i="8"/>
  <c r="T82" i="8"/>
  <c r="T76" i="8"/>
  <c r="T69" i="8"/>
  <c r="T71" i="8"/>
  <c r="T33" i="8"/>
  <c r="I44" i="6" s="1"/>
  <c r="T58" i="8"/>
  <c r="T65" i="8"/>
  <c r="T31" i="8"/>
  <c r="H8" i="8"/>
  <c r="I9" i="8" s="1"/>
  <c r="T35" i="8"/>
  <c r="T83" i="8"/>
  <c r="T41" i="8"/>
  <c r="T45" i="8"/>
  <c r="T19" i="8"/>
  <c r="T34" i="8"/>
  <c r="T53" i="8"/>
  <c r="T62" i="8"/>
  <c r="T32" i="8"/>
  <c r="T26" i="8"/>
  <c r="T40" i="8"/>
  <c r="T55" i="8"/>
  <c r="T50" i="8"/>
  <c r="T46" i="8"/>
  <c r="T52" i="8"/>
  <c r="T73" i="8"/>
  <c r="G9" i="8"/>
  <c r="T51" i="8"/>
  <c r="T84" i="8"/>
  <c r="T42" i="8"/>
  <c r="T68" i="8"/>
  <c r="T57" i="8"/>
  <c r="I41" i="6" s="1"/>
  <c r="T81" i="8"/>
  <c r="I34" i="6" s="1"/>
  <c r="T23" i="8"/>
  <c r="T54" i="8"/>
  <c r="T49" i="8"/>
  <c r="T43" i="8"/>
  <c r="T66" i="8"/>
  <c r="T79" i="8"/>
  <c r="T56" i="8"/>
  <c r="T24" i="8"/>
  <c r="T28" i="8"/>
  <c r="T29" i="8"/>
  <c r="T67" i="8"/>
  <c r="T38" i="8"/>
  <c r="T47" i="8"/>
  <c r="T20" i="8"/>
  <c r="T61" i="8"/>
  <c r="T30" i="8"/>
  <c r="T25" i="8"/>
  <c r="T74" i="8"/>
  <c r="T80" i="8"/>
  <c r="T37" i="8"/>
  <c r="D18" i="6" l="1"/>
  <c r="F18" i="6" s="1"/>
  <c r="I8" i="8"/>
  <c r="J9" i="8"/>
  <c r="T48" i="8"/>
  <c r="I43" i="6" s="1"/>
  <c r="T21" i="8"/>
  <c r="T36" i="8"/>
  <c r="T63" i="8"/>
  <c r="T75" i="8"/>
  <c r="T78" i="8"/>
  <c r="V76" i="8"/>
  <c r="T77" i="8"/>
  <c r="D12" i="6"/>
  <c r="F12" i="6" s="1"/>
  <c r="V72" i="8"/>
  <c r="V23" i="8"/>
  <c r="V57" i="8"/>
  <c r="V22" i="8"/>
  <c r="V83" i="8"/>
  <c r="V44" i="8"/>
  <c r="V58" i="8"/>
  <c r="V67" i="8"/>
  <c r="V82" i="8"/>
  <c r="V19" i="8"/>
  <c r="V56" i="8"/>
  <c r="V69" i="8"/>
  <c r="V61" i="8"/>
  <c r="V74" i="8"/>
  <c r="V71" i="8"/>
  <c r="V39" i="8"/>
  <c r="V64" i="8"/>
  <c r="V55" i="8"/>
  <c r="V21" i="8"/>
  <c r="V30" i="8"/>
  <c r="V43" i="8"/>
  <c r="V20" i="8"/>
  <c r="V49" i="8"/>
  <c r="V68" i="8"/>
  <c r="V48" i="8"/>
  <c r="V70" i="8"/>
  <c r="V84" i="8"/>
  <c r="V80" i="8"/>
  <c r="V31" i="8"/>
  <c r="V25" i="8"/>
  <c r="V81" i="8"/>
  <c r="V26" i="8"/>
  <c r="V38" i="8"/>
  <c r="V34" i="8"/>
  <c r="V53" i="8"/>
  <c r="V41" i="8"/>
  <c r="V29" i="8"/>
  <c r="V35" i="8"/>
  <c r="V45" i="8"/>
  <c r="V33" i="8"/>
  <c r="V42" i="8"/>
  <c r="V32" i="8"/>
  <c r="V52" i="8"/>
  <c r="V18" i="8"/>
  <c r="V79" i="8"/>
  <c r="V73" i="8"/>
  <c r="V40" i="8"/>
  <c r="V75" i="8"/>
  <c r="V66" i="8"/>
  <c r="V37" i="8"/>
  <c r="V47" i="8"/>
  <c r="V62" i="8"/>
  <c r="V63" i="8"/>
  <c r="V65" i="8"/>
  <c r="V24" i="8"/>
  <c r="V27" i="8"/>
  <c r="V51" i="8"/>
  <c r="V28" i="8"/>
  <c r="V50" i="8"/>
  <c r="V36" i="8"/>
  <c r="V46" i="8"/>
  <c r="V60" i="8"/>
  <c r="V59" i="8"/>
  <c r="V54" i="8"/>
  <c r="M28" i="6" l="1"/>
  <c r="D79" i="6"/>
  <c r="J79" i="6" s="1"/>
  <c r="D74" i="6"/>
  <c r="J74" i="6" s="1"/>
  <c r="D77" i="6" l="1"/>
  <c r="J77" i="6" s="1"/>
  <c r="D26" i="6" l="1"/>
  <c r="F26" i="6" s="1"/>
  <c r="G12" i="8" l="1"/>
  <c r="J83" i="6"/>
  <c r="D19" i="6" l="1"/>
  <c r="F19" i="6" s="1"/>
  <c r="J86" i="6"/>
  <c r="F16" i="6"/>
  <c r="D87" i="6" l="1"/>
  <c r="J87" i="6" s="1"/>
  <c r="H11" i="8"/>
  <c r="H12" i="8"/>
  <c r="I12" i="8" l="1"/>
  <c r="D15" i="6"/>
  <c r="D85" i="6" l="1"/>
  <c r="J85" i="6" s="1"/>
  <c r="F15" i="6"/>
  <c r="J82" i="6"/>
  <c r="K49" i="6"/>
  <c r="D30" i="6" s="1"/>
  <c r="H30" i="6" s="1"/>
</calcChain>
</file>

<file path=xl/sharedStrings.xml><?xml version="1.0" encoding="utf-8"?>
<sst xmlns="http://schemas.openxmlformats.org/spreadsheetml/2006/main" count="306" uniqueCount="133">
  <si>
    <t>=</t>
  </si>
  <si>
    <t>L</t>
  </si>
  <si>
    <t>cu.ft.</t>
  </si>
  <si>
    <t>x</t>
  </si>
  <si>
    <t>y</t>
  </si>
  <si>
    <t>dX</t>
  </si>
  <si>
    <t>dY</t>
  </si>
  <si>
    <t>p</t>
  </si>
  <si>
    <t>Panels</t>
  </si>
  <si>
    <t>#</t>
  </si>
  <si>
    <t>(sides)</t>
  </si>
  <si>
    <t>(top, bottom)</t>
  </si>
  <si>
    <t>(back)</t>
  </si>
  <si>
    <t>2nd inside</t>
  </si>
  <si>
    <t>3rd inside</t>
  </si>
  <si>
    <t>Thickness</t>
  </si>
  <si>
    <t>x (cm)</t>
  </si>
  <si>
    <t>y (cm)</t>
  </si>
  <si>
    <t>d</t>
  </si>
  <si>
    <t>S1</t>
  </si>
  <si>
    <t>S4</t>
  </si>
  <si>
    <t>l.</t>
  </si>
  <si>
    <t>cm.</t>
  </si>
  <si>
    <t>Vol. (net)</t>
  </si>
  <si>
    <t>Vol. (gross)</t>
  </si>
  <si>
    <t>cm^2</t>
  </si>
  <si>
    <t>Panel</t>
  </si>
  <si>
    <t>l</t>
  </si>
  <si>
    <t>1st inside</t>
  </si>
  <si>
    <t>Advanced Centerline</t>
  </si>
  <si>
    <t>Driver</t>
  </si>
  <si>
    <t>cm</t>
  </si>
  <si>
    <t>L12</t>
  </si>
  <si>
    <t>Frame Width</t>
  </si>
  <si>
    <t>Magnet Width</t>
  </si>
  <si>
    <t>Magnet Height</t>
  </si>
  <si>
    <t>Plot</t>
  </si>
  <si>
    <t>Delta</t>
  </si>
  <si>
    <t>Mounting Width</t>
  </si>
  <si>
    <t>Panel A</t>
  </si>
  <si>
    <t>Panel C</t>
  </si>
  <si>
    <t>Panel D</t>
  </si>
  <si>
    <t>Panel G</t>
  </si>
  <si>
    <t>Panel H</t>
  </si>
  <si>
    <t>Panel I</t>
  </si>
  <si>
    <t>Mounting Depth</t>
  </si>
  <si>
    <t>v</t>
  </si>
  <si>
    <t>(front)</t>
  </si>
  <si>
    <t>Panel E</t>
  </si>
  <si>
    <t>Cos</t>
  </si>
  <si>
    <t>Sin</t>
  </si>
  <si>
    <t>Path Calculations</t>
  </si>
  <si>
    <t>dS</t>
  </si>
  <si>
    <t>S2</t>
  </si>
  <si>
    <t>dx</t>
  </si>
  <si>
    <t>dy</t>
  </si>
  <si>
    <t>S</t>
  </si>
  <si>
    <t>Pnl Vol</t>
  </si>
  <si>
    <t>L (actual)</t>
  </si>
  <si>
    <t>d (external)</t>
  </si>
  <si>
    <t>h (external)</t>
  </si>
  <si>
    <t>w (external)</t>
  </si>
  <si>
    <t>w (internal)</t>
  </si>
  <si>
    <t>(center)</t>
  </si>
  <si>
    <t>Version</t>
  </si>
  <si>
    <t>in</t>
  </si>
  <si>
    <t>in^2</t>
  </si>
  <si>
    <t>Horizontal Axis</t>
  </si>
  <si>
    <t>Vertical Axis</t>
  </si>
  <si>
    <t>Expansion 1</t>
  </si>
  <si>
    <t>Vertical Divider</t>
  </si>
  <si>
    <t>Panel F (baffle)</t>
  </si>
  <si>
    <t>Sample points</t>
  </si>
  <si>
    <t>S3</t>
  </si>
  <si>
    <t>W</t>
  </si>
  <si>
    <t>S5</t>
  </si>
  <si>
    <t>Internal Width</t>
  </si>
  <si>
    <t>p (cm)</t>
  </si>
  <si>
    <t>Horn Parameters</t>
  </si>
  <si>
    <t>L23</t>
  </si>
  <si>
    <t>L34</t>
  </si>
  <si>
    <t>L45</t>
  </si>
  <si>
    <t>Err</t>
  </si>
  <si>
    <t>Error</t>
  </si>
  <si>
    <t>Filename</t>
  </si>
  <si>
    <t>I:\Users\Brian.Steele\OneDrive\Hornresp\Import\BOXPLAN.TXT</t>
  </si>
  <si>
    <t>ID</t>
  </si>
  <si>
    <t>29.00</t>
  </si>
  <si>
    <t>Ang</t>
  </si>
  <si>
    <t>2.0 x PI</t>
  </si>
  <si>
    <t>Eg</t>
  </si>
  <si>
    <t>Rg</t>
  </si>
  <si>
    <t>Fta</t>
  </si>
  <si>
    <t>Par</t>
  </si>
  <si>
    <t>F12</t>
  </si>
  <si>
    <t>F23</t>
  </si>
  <si>
    <t>F34</t>
  </si>
  <si>
    <t>Sd</t>
  </si>
  <si>
    <t>Bl</t>
  </si>
  <si>
    <t>Cms</t>
  </si>
  <si>
    <t>Rms</t>
  </si>
  <si>
    <t>Mmd</t>
  </si>
  <si>
    <t>Le</t>
  </si>
  <si>
    <t>Re</t>
  </si>
  <si>
    <t>Vrc</t>
  </si>
  <si>
    <t>Lrc</t>
  </si>
  <si>
    <t>Ap1</t>
  </si>
  <si>
    <t>Lp</t>
  </si>
  <si>
    <t>Vtc</t>
  </si>
  <si>
    <t>Atc</t>
  </si>
  <si>
    <t>Pmax</t>
  </si>
  <si>
    <t>Xmax</t>
  </si>
  <si>
    <t>Comment</t>
  </si>
  <si>
    <t>BOXPLAN-Export (7.2 Beta)</t>
  </si>
  <si>
    <t>Cone Volume</t>
  </si>
  <si>
    <t>cm^3</t>
  </si>
  <si>
    <t>Panel B</t>
  </si>
  <si>
    <t>Exp.</t>
  </si>
  <si>
    <t>Tan</t>
  </si>
  <si>
    <t>1/2</t>
  </si>
  <si>
    <t>Intersection points</t>
  </si>
  <si>
    <t>x1</t>
  </si>
  <si>
    <t>y1</t>
  </si>
  <si>
    <t>x2</t>
  </si>
  <si>
    <t>y2</t>
  </si>
  <si>
    <t>a</t>
  </si>
  <si>
    <t>b</t>
  </si>
  <si>
    <t>S6</t>
  </si>
  <si>
    <t>CH</t>
  </si>
  <si>
    <t>F56</t>
  </si>
  <si>
    <t>Cone Vol. Adj. (S1)</t>
  </si>
  <si>
    <t>Cone Area Adj. (S1)</t>
  </si>
  <si>
    <t>Lossy Inductance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</si>
</sst>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14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8"/>
      <color indexed="12"/>
      <name val="Arial"/>
      <family val="2"/>
    </font>
    <font>
      <sz val="10"/>
      <name val="Arial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164" fontId="2" fillId="0" borderId="3" xfId="0" applyNumberFormat="1" applyFont="1" applyFill="1" applyBorder="1"/>
    <xf numFmtId="0" fontId="2" fillId="4" borderId="9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3" borderId="5" xfId="0" applyFont="1" applyFill="1" applyBorder="1"/>
    <xf numFmtId="0" fontId="5" fillId="3" borderId="6" xfId="0" applyFont="1" applyFill="1" applyBorder="1"/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/>
    <xf numFmtId="0" fontId="5" fillId="3" borderId="6" xfId="0" applyFont="1" applyFill="1" applyBorder="1" applyAlignment="1">
      <alignment horizontal="center"/>
    </xf>
    <xf numFmtId="164" fontId="5" fillId="3" borderId="7" xfId="0" applyNumberFormat="1" applyFont="1" applyFill="1" applyBorder="1" applyAlignment="1"/>
    <xf numFmtId="0" fontId="4" fillId="2" borderId="8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164" fontId="5" fillId="3" borderId="10" xfId="0" applyNumberFormat="1" applyFont="1" applyFill="1" applyBorder="1" applyAlignment="1"/>
    <xf numFmtId="0" fontId="4" fillId="0" borderId="11" xfId="0" applyFont="1" applyBorder="1"/>
    <xf numFmtId="0" fontId="4" fillId="0" borderId="12" xfId="0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164" fontId="5" fillId="3" borderId="18" xfId="0" applyNumberFormat="1" applyFont="1" applyFill="1" applyBorder="1" applyAlignment="1">
      <alignment horizontal="center"/>
    </xf>
    <xf numFmtId="164" fontId="5" fillId="3" borderId="18" xfId="0" applyNumberFormat="1" applyFont="1" applyFill="1" applyBorder="1" applyAlignment="1"/>
    <xf numFmtId="0" fontId="5" fillId="3" borderId="19" xfId="0" applyFont="1" applyFill="1" applyBorder="1"/>
    <xf numFmtId="164" fontId="4" fillId="0" borderId="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5" fillId="0" borderId="2" xfId="0" applyFont="1" applyBorder="1"/>
    <xf numFmtId="0" fontId="5" fillId="0" borderId="0" xfId="0" applyFont="1" applyBorder="1"/>
    <xf numFmtId="0" fontId="4" fillId="0" borderId="1" xfId="0" applyFont="1" applyFill="1" applyBorder="1"/>
    <xf numFmtId="0" fontId="4" fillId="0" borderId="2" xfId="0" applyFont="1" applyFill="1" applyBorder="1"/>
    <xf numFmtId="164" fontId="4" fillId="0" borderId="3" xfId="0" applyNumberFormat="1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1" fontId="4" fillId="4" borderId="6" xfId="0" applyNumberFormat="1" applyFont="1" applyFill="1" applyBorder="1"/>
    <xf numFmtId="0" fontId="8" fillId="4" borderId="6" xfId="0" applyFont="1" applyFill="1" applyBorder="1"/>
    <xf numFmtId="2" fontId="4" fillId="4" borderId="6" xfId="0" applyNumberFormat="1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4" fillId="4" borderId="9" xfId="0" applyFont="1" applyFill="1" applyBorder="1"/>
    <xf numFmtId="0" fontId="4" fillId="4" borderId="0" xfId="0" applyFont="1" applyFill="1" applyBorder="1"/>
    <xf numFmtId="1" fontId="4" fillId="4" borderId="0" xfId="0" applyNumberFormat="1" applyFont="1" applyFill="1" applyBorder="1"/>
    <xf numFmtId="0" fontId="8" fillId="4" borderId="0" xfId="0" applyFont="1" applyFill="1" applyBorder="1"/>
    <xf numFmtId="2" fontId="4" fillId="4" borderId="0" xfId="0" applyNumberFormat="1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5" fillId="4" borderId="9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/>
    <xf numFmtId="164" fontId="4" fillId="4" borderId="0" xfId="0" applyNumberFormat="1" applyFont="1" applyFill="1" applyBorder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0" xfId="0" applyNumberFormat="1" applyFont="1" applyFill="1" applyBorder="1"/>
    <xf numFmtId="0" fontId="8" fillId="4" borderId="10" xfId="0" applyFont="1" applyFill="1" applyBorder="1"/>
    <xf numFmtId="0" fontId="5" fillId="3" borderId="18" xfId="0" applyFont="1" applyFill="1" applyBorder="1" applyAlignment="1">
      <alignment horizontal="center"/>
    </xf>
    <xf numFmtId="0" fontId="4" fillId="4" borderId="17" xfId="0" applyFont="1" applyFill="1" applyBorder="1"/>
    <xf numFmtId="0" fontId="5" fillId="4" borderId="18" xfId="0" applyFont="1" applyFill="1" applyBorder="1"/>
    <xf numFmtId="164" fontId="4" fillId="4" borderId="18" xfId="0" applyNumberFormat="1" applyFont="1" applyFill="1" applyBorder="1" applyAlignment="1">
      <alignment horizontal="center"/>
    </xf>
    <xf numFmtId="0" fontId="4" fillId="4" borderId="18" xfId="0" applyFont="1" applyFill="1" applyBorder="1"/>
    <xf numFmtId="164" fontId="4" fillId="4" borderId="18" xfId="0" applyNumberFormat="1" applyFont="1" applyFill="1" applyBorder="1"/>
    <xf numFmtId="0" fontId="5" fillId="4" borderId="19" xfId="0" applyFont="1" applyFill="1" applyBorder="1"/>
    <xf numFmtId="0" fontId="4" fillId="5" borderId="5" xfId="0" applyFont="1" applyFill="1" applyBorder="1"/>
    <xf numFmtId="0" fontId="5" fillId="5" borderId="6" xfId="0" applyFont="1" applyFill="1" applyBorder="1"/>
    <xf numFmtId="164" fontId="5" fillId="5" borderId="6" xfId="0" applyNumberFormat="1" applyFont="1" applyFill="1" applyBorder="1" applyAlignment="1"/>
    <xf numFmtId="0" fontId="5" fillId="5" borderId="6" xfId="0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/>
    <xf numFmtId="0" fontId="5" fillId="5" borderId="9" xfId="0" applyFont="1" applyFill="1" applyBorder="1"/>
    <xf numFmtId="0" fontId="5" fillId="5" borderId="0" xfId="0" applyFont="1" applyFill="1" applyBorder="1"/>
    <xf numFmtId="164" fontId="5" fillId="5" borderId="0" xfId="0" applyNumberFormat="1" applyFont="1" applyFill="1" applyBorder="1"/>
    <xf numFmtId="164" fontId="5" fillId="5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4" fontId="5" fillId="5" borderId="0" xfId="0" applyNumberFormat="1" applyFont="1" applyFill="1" applyBorder="1" applyAlignment="1"/>
    <xf numFmtId="164" fontId="5" fillId="5" borderId="10" xfId="0" applyNumberFormat="1" applyFont="1" applyFill="1" applyBorder="1" applyAlignment="1"/>
    <xf numFmtId="0" fontId="5" fillId="5" borderId="17" xfId="0" applyFont="1" applyFill="1" applyBorder="1"/>
    <xf numFmtId="0" fontId="5" fillId="5" borderId="18" xfId="0" applyFont="1" applyFill="1" applyBorder="1"/>
    <xf numFmtId="164" fontId="5" fillId="5" borderId="18" xfId="0" applyNumberFormat="1" applyFont="1" applyFill="1" applyBorder="1"/>
    <xf numFmtId="164" fontId="5" fillId="5" borderId="18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/>
    <xf numFmtId="0" fontId="5" fillId="5" borderId="19" xfId="0" applyFont="1" applyFill="1" applyBorder="1"/>
    <xf numFmtId="0" fontId="8" fillId="0" borderId="0" xfId="0" applyFont="1"/>
    <xf numFmtId="164" fontId="5" fillId="0" borderId="0" xfId="0" applyNumberFormat="1" applyFont="1"/>
    <xf numFmtId="0" fontId="8" fillId="5" borderId="6" xfId="0" applyFont="1" applyFill="1" applyBorder="1"/>
    <xf numFmtId="164" fontId="8" fillId="5" borderId="6" xfId="0" applyNumberFormat="1" applyFont="1" applyFill="1" applyBorder="1" applyAlignment="1"/>
    <xf numFmtId="0" fontId="8" fillId="5" borderId="6" xfId="0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/>
    <xf numFmtId="0" fontId="8" fillId="5" borderId="9" xfId="0" applyFont="1" applyFill="1" applyBorder="1"/>
    <xf numFmtId="0" fontId="8" fillId="5" borderId="0" xfId="0" applyFont="1" applyFill="1" applyBorder="1"/>
    <xf numFmtId="164" fontId="8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/>
    <xf numFmtId="0" fontId="8" fillId="5" borderId="17" xfId="0" applyFont="1" applyFill="1" applyBorder="1"/>
    <xf numFmtId="0" fontId="8" fillId="5" borderId="18" xfId="0" applyFont="1" applyFill="1" applyBorder="1"/>
    <xf numFmtId="164" fontId="8" fillId="5" borderId="18" xfId="0" applyNumberFormat="1" applyFont="1" applyFill="1" applyBorder="1"/>
    <xf numFmtId="164" fontId="8" fillId="5" borderId="18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/>
    <xf numFmtId="0" fontId="8" fillId="5" borderId="19" xfId="0" applyFont="1" applyFill="1" applyBorder="1"/>
    <xf numFmtId="1" fontId="4" fillId="0" borderId="0" xfId="0" applyNumberFormat="1" applyFont="1"/>
    <xf numFmtId="164" fontId="4" fillId="0" borderId="0" xfId="0" applyNumberFormat="1" applyFont="1"/>
    <xf numFmtId="164" fontId="4" fillId="0" borderId="24" xfId="0" applyNumberFormat="1" applyFont="1" applyBorder="1"/>
    <xf numFmtId="0" fontId="4" fillId="8" borderId="5" xfId="0" applyFont="1" applyFill="1" applyBorder="1"/>
    <xf numFmtId="0" fontId="8" fillId="8" borderId="6" xfId="0" applyFont="1" applyFill="1" applyBorder="1"/>
    <xf numFmtId="164" fontId="8" fillId="8" borderId="6" xfId="0" applyNumberFormat="1" applyFont="1" applyFill="1" applyBorder="1" applyAlignment="1"/>
    <xf numFmtId="0" fontId="8" fillId="8" borderId="6" xfId="0" applyFont="1" applyFill="1" applyBorder="1" applyAlignment="1">
      <alignment horizontal="center"/>
    </xf>
    <xf numFmtId="164" fontId="8" fillId="8" borderId="6" xfId="0" applyNumberFormat="1" applyFont="1" applyFill="1" applyBorder="1" applyAlignment="1">
      <alignment horizontal="center"/>
    </xf>
    <xf numFmtId="164" fontId="8" fillId="8" borderId="7" xfId="0" applyNumberFormat="1" applyFont="1" applyFill="1" applyBorder="1" applyAlignment="1"/>
    <xf numFmtId="0" fontId="8" fillId="8" borderId="17" xfId="0" applyFont="1" applyFill="1" applyBorder="1"/>
    <xf numFmtId="0" fontId="8" fillId="8" borderId="18" xfId="0" applyFont="1" applyFill="1" applyBorder="1"/>
    <xf numFmtId="164" fontId="8" fillId="8" borderId="18" xfId="0" applyNumberFormat="1" applyFont="1" applyFill="1" applyBorder="1"/>
    <xf numFmtId="164" fontId="8" fillId="8" borderId="18" xfId="0" applyNumberFormat="1" applyFont="1" applyFill="1" applyBorder="1" applyAlignment="1">
      <alignment horizontal="center"/>
    </xf>
    <xf numFmtId="164" fontId="8" fillId="8" borderId="18" xfId="0" applyNumberFormat="1" applyFont="1" applyFill="1" applyBorder="1" applyAlignment="1"/>
    <xf numFmtId="0" fontId="8" fillId="8" borderId="19" xfId="0" applyFont="1" applyFill="1" applyBorder="1"/>
    <xf numFmtId="2" fontId="4" fillId="0" borderId="24" xfId="0" applyNumberFormat="1" applyFont="1" applyBorder="1"/>
    <xf numFmtId="0" fontId="0" fillId="0" borderId="0" xfId="0" applyAlignment="1">
      <alignment horizontal="center"/>
    </xf>
    <xf numFmtId="164" fontId="5" fillId="3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4" fontId="8" fillId="6" borderId="5" xfId="0" applyNumberFormat="1" applyFont="1" applyFill="1" applyBorder="1"/>
    <xf numFmtId="164" fontId="8" fillId="6" borderId="6" xfId="0" applyNumberFormat="1" applyFont="1" applyFill="1" applyBorder="1"/>
    <xf numFmtId="0" fontId="8" fillId="6" borderId="6" xfId="0" applyFont="1" applyFill="1" applyBorder="1"/>
    <xf numFmtId="0" fontId="8" fillId="6" borderId="7" xfId="0" applyFont="1" applyFill="1" applyBorder="1"/>
    <xf numFmtId="164" fontId="8" fillId="6" borderId="9" xfId="0" applyNumberFormat="1" applyFont="1" applyFill="1" applyBorder="1"/>
    <xf numFmtId="164" fontId="8" fillId="6" borderId="0" xfId="0" applyNumberFormat="1" applyFont="1" applyFill="1" applyBorder="1"/>
    <xf numFmtId="0" fontId="8" fillId="6" borderId="0" xfId="0" applyFont="1" applyFill="1" applyBorder="1"/>
    <xf numFmtId="0" fontId="8" fillId="6" borderId="10" xfId="0" applyFont="1" applyFill="1" applyBorder="1"/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164" fontId="8" fillId="6" borderId="18" xfId="0" applyNumberFormat="1" applyFont="1" applyFill="1" applyBorder="1" applyAlignment="1">
      <alignment horizontal="center"/>
    </xf>
    <xf numFmtId="164" fontId="8" fillId="6" borderId="18" xfId="0" applyNumberFormat="1" applyFont="1" applyFill="1" applyBorder="1"/>
    <xf numFmtId="1" fontId="8" fillId="6" borderId="18" xfId="0" applyNumberFormat="1" applyFont="1" applyFill="1" applyBorder="1"/>
    <xf numFmtId="1" fontId="8" fillId="6" borderId="19" xfId="0" applyNumberFormat="1" applyFont="1" applyFill="1" applyBorder="1"/>
    <xf numFmtId="1" fontId="8" fillId="0" borderId="0" xfId="0" applyNumberFormat="1" applyFont="1"/>
    <xf numFmtId="1" fontId="8" fillId="6" borderId="7" xfId="0" applyNumberFormat="1" applyFont="1" applyFill="1" applyBorder="1"/>
    <xf numFmtId="1" fontId="8" fillId="6" borderId="10" xfId="0" applyNumberFormat="1" applyFont="1" applyFill="1" applyBorder="1"/>
    <xf numFmtId="0" fontId="8" fillId="6" borderId="17" xfId="0" applyFont="1" applyFill="1" applyBorder="1"/>
    <xf numFmtId="0" fontId="8" fillId="6" borderId="18" xfId="0" applyFont="1" applyFill="1" applyBorder="1"/>
    <xf numFmtId="1" fontId="8" fillId="6" borderId="6" xfId="0" applyNumberFormat="1" applyFont="1" applyFill="1" applyBorder="1"/>
    <xf numFmtId="1" fontId="8" fillId="6" borderId="0" xfId="0" applyNumberFormat="1" applyFont="1" applyFill="1" applyBorder="1"/>
    <xf numFmtId="0" fontId="8" fillId="6" borderId="9" xfId="0" applyFont="1" applyFill="1" applyBorder="1"/>
    <xf numFmtId="0" fontId="8" fillId="6" borderId="0" xfId="0" applyFont="1" applyFill="1" applyBorder="1" applyAlignment="1">
      <alignment horizontal="center"/>
    </xf>
    <xf numFmtId="164" fontId="8" fillId="6" borderId="0" xfId="0" applyNumberFormat="1" applyFont="1" applyFill="1" applyBorder="1" applyAlignment="1">
      <alignment horizontal="center"/>
    </xf>
    <xf numFmtId="164" fontId="8" fillId="6" borderId="0" xfId="0" applyNumberFormat="1" applyFont="1" applyFill="1" applyBorder="1" applyAlignment="1"/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/>
    </xf>
    <xf numFmtId="164" fontId="4" fillId="4" borderId="0" xfId="0" applyNumberFormat="1" applyFont="1" applyFill="1" applyBorder="1"/>
    <xf numFmtId="0" fontId="8" fillId="9" borderId="0" xfId="0" applyFont="1" applyFill="1"/>
    <xf numFmtId="1" fontId="8" fillId="9" borderId="0" xfId="0" applyNumberFormat="1" applyFont="1" applyFill="1"/>
    <xf numFmtId="164" fontId="8" fillId="9" borderId="0" xfId="0" applyNumberFormat="1" applyFont="1" applyFill="1"/>
    <xf numFmtId="0" fontId="3" fillId="10" borderId="25" xfId="0" applyFont="1" applyFill="1" applyBorder="1"/>
    <xf numFmtId="0" fontId="3" fillId="10" borderId="23" xfId="0" applyFont="1" applyFill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4" fillId="0" borderId="13" xfId="0" applyNumberFormat="1" applyFont="1" applyBorder="1"/>
    <xf numFmtId="164" fontId="8" fillId="4" borderId="0" xfId="0" applyNumberFormat="1" applyFont="1" applyFill="1" applyBorder="1" applyAlignment="1">
      <alignment horizontal="right"/>
    </xf>
    <xf numFmtId="164" fontId="9" fillId="0" borderId="3" xfId="0" applyNumberFormat="1" applyFont="1" applyBorder="1" applyProtection="1">
      <protection locked="0"/>
    </xf>
    <xf numFmtId="0" fontId="3" fillId="0" borderId="2" xfId="0" applyFont="1" applyBorder="1"/>
    <xf numFmtId="2" fontId="10" fillId="7" borderId="24" xfId="0" applyNumberFormat="1" applyFont="1" applyFill="1" applyBorder="1"/>
    <xf numFmtId="1" fontId="4" fillId="0" borderId="3" xfId="0" applyNumberFormat="1" applyFont="1" applyBorder="1"/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" fontId="2" fillId="0" borderId="23" xfId="0" quotePrefix="1" applyNumberFormat="1" applyFont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164" fontId="3" fillId="12" borderId="23" xfId="0" applyNumberFormat="1" applyFont="1" applyFill="1" applyBorder="1" applyAlignment="1">
      <alignment horizontal="center"/>
    </xf>
    <xf numFmtId="2" fontId="3" fillId="13" borderId="27" xfId="0" applyNumberFormat="1" applyFont="1" applyFill="1" applyBorder="1" applyAlignment="1">
      <alignment horizontal="center"/>
    </xf>
    <xf numFmtId="2" fontId="3" fillId="13" borderId="23" xfId="0" applyNumberFormat="1" applyFont="1" applyFill="1" applyBorder="1" applyAlignment="1">
      <alignment horizontal="center"/>
    </xf>
    <xf numFmtId="0" fontId="2" fillId="0" borderId="23" xfId="0" applyFont="1" applyBorder="1"/>
    <xf numFmtId="164" fontId="3" fillId="0" borderId="23" xfId="0" applyNumberFormat="1" applyFont="1" applyBorder="1"/>
    <xf numFmtId="2" fontId="3" fillId="0" borderId="23" xfId="0" applyNumberFormat="1" applyFont="1" applyBorder="1"/>
    <xf numFmtId="1" fontId="8" fillId="11" borderId="0" xfId="0" applyNumberFormat="1" applyFont="1" applyFill="1"/>
    <xf numFmtId="164" fontId="8" fillId="11" borderId="0" xfId="0" applyNumberFormat="1" applyFont="1" applyFill="1"/>
    <xf numFmtId="0" fontId="2" fillId="14" borderId="11" xfId="0" applyFont="1" applyFill="1" applyBorder="1" applyAlignment="1"/>
    <xf numFmtId="0" fontId="7" fillId="14" borderId="12" xfId="0" applyFont="1" applyFill="1" applyBorder="1" applyAlignment="1"/>
    <xf numFmtId="0" fontId="7" fillId="14" borderId="13" xfId="0" applyFont="1" applyFill="1" applyBorder="1" applyAlignment="1"/>
    <xf numFmtId="164" fontId="5" fillId="4" borderId="0" xfId="0" applyNumberFormat="1" applyFont="1" applyFill="1" applyBorder="1"/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164" fontId="6" fillId="0" borderId="13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4" fillId="2" borderId="15" xfId="0" applyFont="1" applyFill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4" fillId="2" borderId="13" xfId="0" applyFont="1" applyFill="1" applyBorder="1" applyAlignment="1"/>
    <xf numFmtId="0" fontId="7" fillId="0" borderId="8" xfId="0" applyFont="1" applyBorder="1" applyAlignment="1"/>
    <xf numFmtId="0" fontId="4" fillId="2" borderId="14" xfId="0" applyFont="1" applyFill="1" applyBorder="1" applyAlignment="1"/>
    <xf numFmtId="0" fontId="4" fillId="2" borderId="21" xfId="0" applyFont="1" applyFill="1" applyBorder="1" applyAlignment="1"/>
    <xf numFmtId="0" fontId="7" fillId="0" borderId="0" xfId="0" applyFont="1" applyBorder="1" applyAlignment="1"/>
    <xf numFmtId="0" fontId="7" fillId="0" borderId="22" xfId="0" applyFont="1" applyBorder="1" applyAlignment="1"/>
    <xf numFmtId="0" fontId="4" fillId="2" borderId="22" xfId="0" applyFont="1" applyFill="1" applyBorder="1" applyAlignment="1"/>
    <xf numFmtId="0" fontId="7" fillId="0" borderId="4" xfId="0" applyFont="1" applyBorder="1" applyAlignment="1"/>
    <xf numFmtId="0" fontId="3" fillId="10" borderId="25" xfId="0" quotePrefix="1" applyFont="1" applyFill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0" fontId="2" fillId="2" borderId="21" xfId="0" applyFont="1" applyFill="1" applyBorder="1" applyAlignment="1"/>
    <xf numFmtId="0" fontId="9" fillId="0" borderId="25" xfId="0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protection locked="0"/>
    </xf>
    <xf numFmtId="2" fontId="3" fillId="10" borderId="25" xfId="0" quotePrefix="1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9" fillId="0" borderId="25" xfId="0" quotePrefix="1" applyNumberFormat="1" applyFon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right"/>
      <protection locked="0"/>
    </xf>
    <xf numFmtId="0" fontId="3" fillId="0" borderId="27" xfId="0" applyFont="1" applyBorder="1" applyAlignment="1" applyProtection="1">
      <alignment horizontal="right"/>
      <protection locked="0"/>
    </xf>
    <xf numFmtId="1" fontId="3" fillId="10" borderId="25" xfId="0" quotePrefix="1" applyNumberFormat="1" applyFont="1" applyFill="1" applyBorder="1" applyAlignment="1"/>
    <xf numFmtId="1" fontId="3" fillId="0" borderId="26" xfId="0" applyNumberFormat="1" applyFont="1" applyBorder="1" applyAlignment="1"/>
    <xf numFmtId="1" fontId="3" fillId="0" borderId="27" xfId="0" applyNumberFormat="1" applyFont="1" applyBorder="1" applyAlignment="1"/>
    <xf numFmtId="164" fontId="3" fillId="10" borderId="25" xfId="0" quotePrefix="1" applyNumberFormat="1" applyFont="1" applyFill="1" applyBorder="1" applyAlignment="1"/>
    <xf numFmtId="0" fontId="9" fillId="0" borderId="25" xfId="0" quotePrefix="1" applyFont="1" applyBorder="1" applyAlignment="1" applyProtection="1">
      <protection locked="0"/>
    </xf>
    <xf numFmtId="165" fontId="9" fillId="0" borderId="25" xfId="0" quotePrefix="1" applyNumberFormat="1" applyFont="1" applyBorder="1" applyAlignment="1" applyProtection="1">
      <protection locked="0"/>
    </xf>
    <xf numFmtId="165" fontId="3" fillId="0" borderId="26" xfId="0" applyNumberFormat="1" applyFont="1" applyBorder="1" applyAlignment="1" applyProtection="1">
      <protection locked="0"/>
    </xf>
    <xf numFmtId="165" fontId="3" fillId="0" borderId="27" xfId="0" applyNumberFormat="1" applyFont="1" applyBorder="1" applyAlignment="1" applyProtection="1">
      <protection locked="0"/>
    </xf>
    <xf numFmtId="0" fontId="13" fillId="0" borderId="0" xfId="0" applyFont="1" applyProtection="1">
      <protection locked="0"/>
    </xf>
    <xf numFmtId="0" fontId="3" fillId="10" borderId="2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Horn Expansion</a:t>
            </a:r>
          </a:p>
        </c:rich>
      </c:tx>
      <c:layout>
        <c:manualLayout>
          <c:xMode val="edge"/>
          <c:yMode val="edge"/>
          <c:x val="0.4236118578765175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0855409165122"/>
          <c:y val="0.11484625253373526"/>
          <c:w val="0.81944583375012503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Path!$R$18:$R$153</c:f>
              <c:numCache>
                <c:formatCode>0</c:formatCode>
                <c:ptCount val="136"/>
                <c:pt idx="0">
                  <c:v>503.36000000000007</c:v>
                </c:pt>
                <c:pt idx="1">
                  <c:v>503.36000000000007</c:v>
                </c:pt>
                <c:pt idx="2">
                  <c:v>503.36000000000007</c:v>
                </c:pt>
                <c:pt idx="3">
                  <c:v>503.36000000000007</c:v>
                </c:pt>
                <c:pt idx="4">
                  <c:v>503.36000000000007</c:v>
                </c:pt>
                <c:pt idx="5">
                  <c:v>503.36000000000007</c:v>
                </c:pt>
                <c:pt idx="6">
                  <c:v>503.36000000000007</c:v>
                </c:pt>
                <c:pt idx="7">
                  <c:v>503.36000000000007</c:v>
                </c:pt>
                <c:pt idx="8">
                  <c:v>503.36000000000007</c:v>
                </c:pt>
                <c:pt idx="9">
                  <c:v>562.77358857714728</c:v>
                </c:pt>
                <c:pt idx="10">
                  <c:v>562.77358857714728</c:v>
                </c:pt>
                <c:pt idx="11">
                  <c:v>562.77358857714728</c:v>
                </c:pt>
                <c:pt idx="12">
                  <c:v>562.77358857714694</c:v>
                </c:pt>
                <c:pt idx="13">
                  <c:v>562.77358857714694</c:v>
                </c:pt>
                <c:pt idx="14">
                  <c:v>562.77358857714694</c:v>
                </c:pt>
                <c:pt idx="15">
                  <c:v>503.35999999999984</c:v>
                </c:pt>
                <c:pt idx="16">
                  <c:v>503.35999999999984</c:v>
                </c:pt>
                <c:pt idx="17">
                  <c:v>503.35999999999984</c:v>
                </c:pt>
                <c:pt idx="18">
                  <c:v>503.35999999999984</c:v>
                </c:pt>
                <c:pt idx="19">
                  <c:v>503.35999999999984</c:v>
                </c:pt>
                <c:pt idx="20">
                  <c:v>503.35999999999984</c:v>
                </c:pt>
                <c:pt idx="21">
                  <c:v>562.77358857714671</c:v>
                </c:pt>
                <c:pt idx="22">
                  <c:v>562.77358857714671</c:v>
                </c:pt>
                <c:pt idx="23">
                  <c:v>562.77358857714671</c:v>
                </c:pt>
                <c:pt idx="24">
                  <c:v>562.77358857714671</c:v>
                </c:pt>
                <c:pt idx="25">
                  <c:v>562.77358857714671</c:v>
                </c:pt>
                <c:pt idx="26">
                  <c:v>562.77358857714671</c:v>
                </c:pt>
                <c:pt idx="27">
                  <c:v>503.35999999999984</c:v>
                </c:pt>
                <c:pt idx="28">
                  <c:v>503.35999999999984</c:v>
                </c:pt>
                <c:pt idx="29">
                  <c:v>503.35999999999984</c:v>
                </c:pt>
                <c:pt idx="30">
                  <c:v>503.35999999999984</c:v>
                </c:pt>
                <c:pt idx="31">
                  <c:v>503.35999999999984</c:v>
                </c:pt>
                <c:pt idx="32">
                  <c:v>503.35999999999984</c:v>
                </c:pt>
                <c:pt idx="33">
                  <c:v>554.45175075554505</c:v>
                </c:pt>
                <c:pt idx="34">
                  <c:v>554.45175075554505</c:v>
                </c:pt>
                <c:pt idx="35">
                  <c:v>554.45175075554505</c:v>
                </c:pt>
                <c:pt idx="36">
                  <c:v>545.49393552095921</c:v>
                </c:pt>
                <c:pt idx="37">
                  <c:v>545.49393552095921</c:v>
                </c:pt>
                <c:pt idx="38">
                  <c:v>545.49393552095921</c:v>
                </c:pt>
                <c:pt idx="39">
                  <c:v>503.36040433098759</c:v>
                </c:pt>
                <c:pt idx="40">
                  <c:v>503.36040433098759</c:v>
                </c:pt>
                <c:pt idx="41">
                  <c:v>503.36040433098759</c:v>
                </c:pt>
                <c:pt idx="42">
                  <c:v>793.10418945914694</c:v>
                </c:pt>
                <c:pt idx="43">
                  <c:v>793.10418945914694</c:v>
                </c:pt>
                <c:pt idx="44">
                  <c:v>793.10418945914694</c:v>
                </c:pt>
                <c:pt idx="45">
                  <c:v>906.08530131309647</c:v>
                </c:pt>
                <c:pt idx="46">
                  <c:v>906.08530131309647</c:v>
                </c:pt>
                <c:pt idx="47">
                  <c:v>906.08530131309647</c:v>
                </c:pt>
                <c:pt idx="48">
                  <c:v>928.57125360124985</c:v>
                </c:pt>
                <c:pt idx="49">
                  <c:v>928.57125360124985</c:v>
                </c:pt>
                <c:pt idx="50">
                  <c:v>928.57125360124985</c:v>
                </c:pt>
                <c:pt idx="51">
                  <c:v>848.07449828548079</c:v>
                </c:pt>
                <c:pt idx="52">
                  <c:v>848.07449828548079</c:v>
                </c:pt>
                <c:pt idx="53">
                  <c:v>848.07449828548079</c:v>
                </c:pt>
                <c:pt idx="54">
                  <c:v>856.59264435826447</c:v>
                </c:pt>
                <c:pt idx="55">
                  <c:v>856.59264435826447</c:v>
                </c:pt>
                <c:pt idx="56">
                  <c:v>856.59264435826447</c:v>
                </c:pt>
                <c:pt idx="57">
                  <c:v>978.61775592589242</c:v>
                </c:pt>
                <c:pt idx="58">
                  <c:v>978.61775592589242</c:v>
                </c:pt>
                <c:pt idx="59">
                  <c:v>978.61775592589242</c:v>
                </c:pt>
                <c:pt idx="60">
                  <c:v>1002.9031632725039</c:v>
                </c:pt>
                <c:pt idx="61">
                  <c:v>1002.9031632725039</c:v>
                </c:pt>
                <c:pt idx="62">
                  <c:v>1002.9031632725039</c:v>
                </c:pt>
                <c:pt idx="63">
                  <c:v>915.96251441723996</c:v>
                </c:pt>
                <c:pt idx="64">
                  <c:v>915.96251441723996</c:v>
                </c:pt>
                <c:pt idx="65">
                  <c:v>915.96251441723996</c:v>
                </c:pt>
                <c:pt idx="66">
                  <c:v>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F4-43A6-953E-010F2EC8782F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Path!$S$18:$S$153</c:f>
              <c:numCache>
                <c:formatCode>0</c:formatCode>
                <c:ptCount val="136"/>
                <c:pt idx="0">
                  <c:v>-503.36000000000007</c:v>
                </c:pt>
                <c:pt idx="1">
                  <c:v>-503.36000000000007</c:v>
                </c:pt>
                <c:pt idx="2">
                  <c:v>-503.36000000000007</c:v>
                </c:pt>
                <c:pt idx="3">
                  <c:v>-503.36000000000007</c:v>
                </c:pt>
                <c:pt idx="4">
                  <c:v>-503.36000000000007</c:v>
                </c:pt>
                <c:pt idx="5">
                  <c:v>-503.36000000000007</c:v>
                </c:pt>
                <c:pt idx="6">
                  <c:v>-503.36000000000007</c:v>
                </c:pt>
                <c:pt idx="7">
                  <c:v>-503.36000000000007</c:v>
                </c:pt>
                <c:pt idx="8">
                  <c:v>-503.36000000000007</c:v>
                </c:pt>
                <c:pt idx="9">
                  <c:v>-562.77358857714728</c:v>
                </c:pt>
                <c:pt idx="10">
                  <c:v>-562.77358857714728</c:v>
                </c:pt>
                <c:pt idx="11">
                  <c:v>-562.77358857714728</c:v>
                </c:pt>
                <c:pt idx="12">
                  <c:v>-562.77358857714694</c:v>
                </c:pt>
                <c:pt idx="13">
                  <c:v>-562.77358857714694</c:v>
                </c:pt>
                <c:pt idx="14">
                  <c:v>-562.77358857714694</c:v>
                </c:pt>
                <c:pt idx="15">
                  <c:v>-503.35999999999984</c:v>
                </c:pt>
                <c:pt idx="16">
                  <c:v>-503.35999999999984</c:v>
                </c:pt>
                <c:pt idx="17">
                  <c:v>-503.35999999999984</c:v>
                </c:pt>
                <c:pt idx="18">
                  <c:v>-503.35999999999984</c:v>
                </c:pt>
                <c:pt idx="19">
                  <c:v>-503.35999999999984</c:v>
                </c:pt>
                <c:pt idx="20">
                  <c:v>-503.35999999999984</c:v>
                </c:pt>
                <c:pt idx="21">
                  <c:v>-562.77358857714671</c:v>
                </c:pt>
                <c:pt idx="22">
                  <c:v>-562.77358857714671</c:v>
                </c:pt>
                <c:pt idx="23">
                  <c:v>-562.77358857714671</c:v>
                </c:pt>
                <c:pt idx="24">
                  <c:v>-562.77358857714671</c:v>
                </c:pt>
                <c:pt idx="25">
                  <c:v>-562.77358857714671</c:v>
                </c:pt>
                <c:pt idx="26">
                  <c:v>-562.77358857714671</c:v>
                </c:pt>
                <c:pt idx="27">
                  <c:v>-503.35999999999984</c:v>
                </c:pt>
                <c:pt idx="28">
                  <c:v>-503.35999999999984</c:v>
                </c:pt>
                <c:pt idx="29">
                  <c:v>-503.35999999999984</c:v>
                </c:pt>
                <c:pt idx="30">
                  <c:v>-503.35999999999984</c:v>
                </c:pt>
                <c:pt idx="31">
                  <c:v>-503.35999999999984</c:v>
                </c:pt>
                <c:pt idx="32">
                  <c:v>-503.35999999999984</c:v>
                </c:pt>
                <c:pt idx="33">
                  <c:v>-554.45175075554505</c:v>
                </c:pt>
                <c:pt idx="34">
                  <c:v>-554.45175075554505</c:v>
                </c:pt>
                <c:pt idx="35">
                  <c:v>-554.45175075554505</c:v>
                </c:pt>
                <c:pt idx="36">
                  <c:v>-545.49393552095921</c:v>
                </c:pt>
                <c:pt idx="37">
                  <c:v>-545.49393552095921</c:v>
                </c:pt>
                <c:pt idx="38">
                  <c:v>-545.49393552095921</c:v>
                </c:pt>
                <c:pt idx="39">
                  <c:v>-503.36040433098759</c:v>
                </c:pt>
                <c:pt idx="40">
                  <c:v>-503.36040433098759</c:v>
                </c:pt>
                <c:pt idx="41">
                  <c:v>-503.36040433098759</c:v>
                </c:pt>
                <c:pt idx="42">
                  <c:v>-793.10418945914694</c:v>
                </c:pt>
                <c:pt idx="43">
                  <c:v>-793.10418945914694</c:v>
                </c:pt>
                <c:pt idx="44">
                  <c:v>-793.10418945914694</c:v>
                </c:pt>
                <c:pt idx="45">
                  <c:v>-906.08530131309647</c:v>
                </c:pt>
                <c:pt idx="46">
                  <c:v>-906.08530131309647</c:v>
                </c:pt>
                <c:pt idx="47">
                  <c:v>-906.08530131309647</c:v>
                </c:pt>
                <c:pt idx="48">
                  <c:v>-928.57125360124985</c:v>
                </c:pt>
                <c:pt idx="49">
                  <c:v>-928.57125360124985</c:v>
                </c:pt>
                <c:pt idx="50">
                  <c:v>-928.57125360124985</c:v>
                </c:pt>
                <c:pt idx="51">
                  <c:v>-848.07449828548079</c:v>
                </c:pt>
                <c:pt idx="52">
                  <c:v>-848.07449828548079</c:v>
                </c:pt>
                <c:pt idx="53">
                  <c:v>-848.07449828548079</c:v>
                </c:pt>
                <c:pt idx="54">
                  <c:v>-856.59264435826447</c:v>
                </c:pt>
                <c:pt idx="55">
                  <c:v>-856.59264435826447</c:v>
                </c:pt>
                <c:pt idx="56">
                  <c:v>-856.59264435826447</c:v>
                </c:pt>
                <c:pt idx="57">
                  <c:v>-978.61775592589242</c:v>
                </c:pt>
                <c:pt idx="58">
                  <c:v>-978.61775592589242</c:v>
                </c:pt>
                <c:pt idx="59">
                  <c:v>-978.61775592589242</c:v>
                </c:pt>
                <c:pt idx="60">
                  <c:v>-1002.9031632725039</c:v>
                </c:pt>
                <c:pt idx="61">
                  <c:v>-1002.9031632725039</c:v>
                </c:pt>
                <c:pt idx="62">
                  <c:v>-1002.9031632725039</c:v>
                </c:pt>
                <c:pt idx="63">
                  <c:v>-915.96251441723996</c:v>
                </c:pt>
                <c:pt idx="64">
                  <c:v>-915.96251441723996</c:v>
                </c:pt>
                <c:pt idx="65">
                  <c:v>-915.96251441723996</c:v>
                </c:pt>
                <c:pt idx="66">
                  <c:v>-1247.7602633065972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F4-43A6-953E-010F2EC8782F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Path!$U$18:$U$153</c:f>
              <c:numCache>
                <c:formatCode>0</c:formatCode>
                <c:ptCount val="136"/>
                <c:pt idx="0">
                  <c:v>503.36000000000007</c:v>
                </c:pt>
                <c:pt idx="1">
                  <c:v>503.36000000000007</c:v>
                </c:pt>
                <c:pt idx="2">
                  <c:v>503.36000000000007</c:v>
                </c:pt>
                <c:pt idx="3">
                  <c:v>503.36000000000007</c:v>
                </c:pt>
                <c:pt idx="4">
                  <c:v>503.36000000000007</c:v>
                </c:pt>
                <c:pt idx="5">
                  <c:v>503.36000000000007</c:v>
                </c:pt>
                <c:pt idx="6">
                  <c:v>503.36000000000007</c:v>
                </c:pt>
                <c:pt idx="7">
                  <c:v>503.36000000000007</c:v>
                </c:pt>
                <c:pt idx="8">
                  <c:v>503.36000000000007</c:v>
                </c:pt>
                <c:pt idx="9">
                  <c:v>503.36000000000007</c:v>
                </c:pt>
                <c:pt idx="10">
                  <c:v>503.36000000000007</c:v>
                </c:pt>
                <c:pt idx="11">
                  <c:v>503.36000000000007</c:v>
                </c:pt>
                <c:pt idx="12">
                  <c:v>503.36000000000007</c:v>
                </c:pt>
                <c:pt idx="13">
                  <c:v>503.36000000000007</c:v>
                </c:pt>
                <c:pt idx="14">
                  <c:v>503.36000000000007</c:v>
                </c:pt>
                <c:pt idx="15">
                  <c:v>503.36000000000007</c:v>
                </c:pt>
                <c:pt idx="16">
                  <c:v>503.36000000000007</c:v>
                </c:pt>
                <c:pt idx="17">
                  <c:v>503.36000000000007</c:v>
                </c:pt>
                <c:pt idx="18">
                  <c:v>503.36000000000007</c:v>
                </c:pt>
                <c:pt idx="19">
                  <c:v>503.36000000000007</c:v>
                </c:pt>
                <c:pt idx="20">
                  <c:v>503.36000000000007</c:v>
                </c:pt>
                <c:pt idx="21">
                  <c:v>503.36000000000007</c:v>
                </c:pt>
                <c:pt idx="22">
                  <c:v>503.36000000000007</c:v>
                </c:pt>
                <c:pt idx="23">
                  <c:v>503.36000000000007</c:v>
                </c:pt>
                <c:pt idx="24">
                  <c:v>503.36000000000007</c:v>
                </c:pt>
                <c:pt idx="25">
                  <c:v>503.36000000000007</c:v>
                </c:pt>
                <c:pt idx="26">
                  <c:v>503.36000000000007</c:v>
                </c:pt>
                <c:pt idx="27">
                  <c:v>503.36000000000007</c:v>
                </c:pt>
                <c:pt idx="28">
                  <c:v>503.36000000000007</c:v>
                </c:pt>
                <c:pt idx="29">
                  <c:v>503.36000000000007</c:v>
                </c:pt>
                <c:pt idx="30">
                  <c:v>503.36000000000007</c:v>
                </c:pt>
                <c:pt idx="31">
                  <c:v>503.36000000000007</c:v>
                </c:pt>
                <c:pt idx="32">
                  <c:v>503.36000000000007</c:v>
                </c:pt>
                <c:pt idx="33">
                  <c:v>503.36000000000007</c:v>
                </c:pt>
                <c:pt idx="34">
                  <c:v>503.36000000000007</c:v>
                </c:pt>
                <c:pt idx="35">
                  <c:v>503.36000000000007</c:v>
                </c:pt>
                <c:pt idx="36">
                  <c:v>503.36000000000007</c:v>
                </c:pt>
                <c:pt idx="37">
                  <c:v>503.36000000000007</c:v>
                </c:pt>
                <c:pt idx="38">
                  <c:v>503.36000000000007</c:v>
                </c:pt>
                <c:pt idx="39">
                  <c:v>503.36000000000007</c:v>
                </c:pt>
                <c:pt idx="40">
                  <c:v>503.36040433098759</c:v>
                </c:pt>
                <c:pt idx="41">
                  <c:v>503.36040433098759</c:v>
                </c:pt>
                <c:pt idx="42">
                  <c:v>793.10418919409744</c:v>
                </c:pt>
                <c:pt idx="43">
                  <c:v>793.10418919409744</c:v>
                </c:pt>
                <c:pt idx="44">
                  <c:v>793.10418919409744</c:v>
                </c:pt>
                <c:pt idx="45">
                  <c:v>809.11234611818759</c:v>
                </c:pt>
                <c:pt idx="46">
                  <c:v>809.11234611818759</c:v>
                </c:pt>
                <c:pt idx="47">
                  <c:v>809.11234611818759</c:v>
                </c:pt>
                <c:pt idx="48">
                  <c:v>831.88184939020903</c:v>
                </c:pt>
                <c:pt idx="49">
                  <c:v>831.88184939020903</c:v>
                </c:pt>
                <c:pt idx="50">
                  <c:v>831.88184939020903</c:v>
                </c:pt>
                <c:pt idx="51">
                  <c:v>848.07410652589897</c:v>
                </c:pt>
                <c:pt idx="52">
                  <c:v>848.07410652589897</c:v>
                </c:pt>
                <c:pt idx="53">
                  <c:v>848.07410652589897</c:v>
                </c:pt>
                <c:pt idx="54">
                  <c:v>856.59225259089021</c:v>
                </c:pt>
                <c:pt idx="55">
                  <c:v>856.59225259089021</c:v>
                </c:pt>
                <c:pt idx="56">
                  <c:v>856.59225259089021</c:v>
                </c:pt>
                <c:pt idx="57">
                  <c:v>873.88185531152158</c:v>
                </c:pt>
                <c:pt idx="58">
                  <c:v>873.88185531152158</c:v>
                </c:pt>
                <c:pt idx="59">
                  <c:v>873.88185531152158</c:v>
                </c:pt>
                <c:pt idx="60">
                  <c:v>898.47405856605474</c:v>
                </c:pt>
                <c:pt idx="61">
                  <c:v>898.47405856605474</c:v>
                </c:pt>
                <c:pt idx="62">
                  <c:v>898.47405856605474</c:v>
                </c:pt>
                <c:pt idx="63">
                  <c:v>915.96251472075915</c:v>
                </c:pt>
                <c:pt idx="64">
                  <c:v>915.96251472075915</c:v>
                </c:pt>
                <c:pt idx="65">
                  <c:v>915.96251472075915</c:v>
                </c:pt>
                <c:pt idx="66">
                  <c:v>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F4-43A6-953E-010F2EC8782F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Path!$V$18:$V$153</c:f>
              <c:numCache>
                <c:formatCode>0</c:formatCode>
                <c:ptCount val="136"/>
                <c:pt idx="0">
                  <c:v>-503.36000000000007</c:v>
                </c:pt>
                <c:pt idx="1">
                  <c:v>-503.36000000000007</c:v>
                </c:pt>
                <c:pt idx="2">
                  <c:v>-503.36000000000007</c:v>
                </c:pt>
                <c:pt idx="3">
                  <c:v>-503.36000000000007</c:v>
                </c:pt>
                <c:pt idx="4">
                  <c:v>-503.36000000000007</c:v>
                </c:pt>
                <c:pt idx="5">
                  <c:v>-503.36000000000007</c:v>
                </c:pt>
                <c:pt idx="6">
                  <c:v>-503.36000000000007</c:v>
                </c:pt>
                <c:pt idx="7">
                  <c:v>-503.36000000000007</c:v>
                </c:pt>
                <c:pt idx="8">
                  <c:v>-503.36000000000007</c:v>
                </c:pt>
                <c:pt idx="9">
                  <c:v>-503.36000000000007</c:v>
                </c:pt>
                <c:pt idx="10">
                  <c:v>-503.36000000000007</c:v>
                </c:pt>
                <c:pt idx="11">
                  <c:v>-503.36000000000007</c:v>
                </c:pt>
                <c:pt idx="12">
                  <c:v>-503.36000000000007</c:v>
                </c:pt>
                <c:pt idx="13">
                  <c:v>-503.36000000000007</c:v>
                </c:pt>
                <c:pt idx="14">
                  <c:v>-503.36000000000007</c:v>
                </c:pt>
                <c:pt idx="15">
                  <c:v>-503.36000000000007</c:v>
                </c:pt>
                <c:pt idx="16">
                  <c:v>-503.36000000000007</c:v>
                </c:pt>
                <c:pt idx="17">
                  <c:v>-503.36000000000007</c:v>
                </c:pt>
                <c:pt idx="18">
                  <c:v>-503.36000000000007</c:v>
                </c:pt>
                <c:pt idx="19">
                  <c:v>-503.36000000000007</c:v>
                </c:pt>
                <c:pt idx="20">
                  <c:v>-503.36000000000007</c:v>
                </c:pt>
                <c:pt idx="21">
                  <c:v>-503.36000000000007</c:v>
                </c:pt>
                <c:pt idx="22">
                  <c:v>-503.36000000000007</c:v>
                </c:pt>
                <c:pt idx="23">
                  <c:v>-503.36000000000007</c:v>
                </c:pt>
                <c:pt idx="24">
                  <c:v>-503.36000000000007</c:v>
                </c:pt>
                <c:pt idx="25">
                  <c:v>-503.36000000000007</c:v>
                </c:pt>
                <c:pt idx="26">
                  <c:v>-503.36000000000007</c:v>
                </c:pt>
                <c:pt idx="27">
                  <c:v>-503.36000000000007</c:v>
                </c:pt>
                <c:pt idx="28">
                  <c:v>-503.36000000000007</c:v>
                </c:pt>
                <c:pt idx="29">
                  <c:v>-503.36000000000007</c:v>
                </c:pt>
                <c:pt idx="30">
                  <c:v>-503.36000000000007</c:v>
                </c:pt>
                <c:pt idx="31">
                  <c:v>-503.36000000000007</c:v>
                </c:pt>
                <c:pt idx="32">
                  <c:v>-503.36000000000007</c:v>
                </c:pt>
                <c:pt idx="33">
                  <c:v>-503.36000000000007</c:v>
                </c:pt>
                <c:pt idx="34">
                  <c:v>-503.36000000000007</c:v>
                </c:pt>
                <c:pt idx="35">
                  <c:v>-503.36000000000007</c:v>
                </c:pt>
                <c:pt idx="36">
                  <c:v>-503.36000000000007</c:v>
                </c:pt>
                <c:pt idx="37">
                  <c:v>-503.36000000000007</c:v>
                </c:pt>
                <c:pt idx="38">
                  <c:v>-503.36000000000007</c:v>
                </c:pt>
                <c:pt idx="39">
                  <c:v>-503.36000000000007</c:v>
                </c:pt>
                <c:pt idx="40">
                  <c:v>-503.36040433098759</c:v>
                </c:pt>
                <c:pt idx="41">
                  <c:v>-503.36040433098759</c:v>
                </c:pt>
                <c:pt idx="42">
                  <c:v>-793.10418919409744</c:v>
                </c:pt>
                <c:pt idx="43">
                  <c:v>-793.10418919409744</c:v>
                </c:pt>
                <c:pt idx="44">
                  <c:v>-793.10418919409744</c:v>
                </c:pt>
                <c:pt idx="45">
                  <c:v>-809.11234611818759</c:v>
                </c:pt>
                <c:pt idx="46">
                  <c:v>-809.11234611818759</c:v>
                </c:pt>
                <c:pt idx="47">
                  <c:v>-809.11234611818759</c:v>
                </c:pt>
                <c:pt idx="48">
                  <c:v>-831.88184939020903</c:v>
                </c:pt>
                <c:pt idx="49">
                  <c:v>-831.88184939020903</c:v>
                </c:pt>
                <c:pt idx="50">
                  <c:v>-831.88184939020903</c:v>
                </c:pt>
                <c:pt idx="51">
                  <c:v>-848.07410652589897</c:v>
                </c:pt>
                <c:pt idx="52">
                  <c:v>-848.07410652589897</c:v>
                </c:pt>
                <c:pt idx="53">
                  <c:v>-848.07410652589897</c:v>
                </c:pt>
                <c:pt idx="54">
                  <c:v>-856.59225259089021</c:v>
                </c:pt>
                <c:pt idx="55">
                  <c:v>-856.59225259089021</c:v>
                </c:pt>
                <c:pt idx="56">
                  <c:v>-856.59225259089021</c:v>
                </c:pt>
                <c:pt idx="57">
                  <c:v>-873.88185531152158</c:v>
                </c:pt>
                <c:pt idx="58">
                  <c:v>-873.88185531152158</c:v>
                </c:pt>
                <c:pt idx="59">
                  <c:v>-873.88185531152158</c:v>
                </c:pt>
                <c:pt idx="60">
                  <c:v>-898.47405856605474</c:v>
                </c:pt>
                <c:pt idx="61">
                  <c:v>-898.47405856605474</c:v>
                </c:pt>
                <c:pt idx="62">
                  <c:v>-898.47405856605474</c:v>
                </c:pt>
                <c:pt idx="63">
                  <c:v>-915.96251472075915</c:v>
                </c:pt>
                <c:pt idx="64">
                  <c:v>-915.96251472075915</c:v>
                </c:pt>
                <c:pt idx="65">
                  <c:v>-915.96251472075915</c:v>
                </c:pt>
                <c:pt idx="66">
                  <c:v>-1247.7602633065972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F4-43A6-953E-010F2EC87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224"/>
        <c:axId val="1"/>
      </c:scatterChart>
      <c:valAx>
        <c:axId val="319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Length</a:t>
                </a:r>
              </a:p>
            </c:rich>
          </c:tx>
          <c:layout>
            <c:manualLayout>
              <c:xMode val="edge"/>
              <c:yMode val="edge"/>
              <c:x val="0.50347320969627496"/>
              <c:y val="0.899162016512641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Area</a:t>
                </a:r>
              </a:p>
            </c:rich>
          </c:tx>
          <c:layout>
            <c:manualLayout>
              <c:xMode val="edge"/>
              <c:yMode val="edge"/>
              <c:x val="2.7777853591524626E-2"/>
              <c:y val="0.45098156848041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14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Panels!$F$9:$F$115</c:f>
              <c:numCache>
                <c:formatCode>0.0</c:formatCode>
                <c:ptCount val="107"/>
                <c:pt idx="0">
                  <c:v>141.6</c:v>
                </c:pt>
                <c:pt idx="1">
                  <c:v>141.6</c:v>
                </c:pt>
                <c:pt idx="2">
                  <c:v>143.5</c:v>
                </c:pt>
                <c:pt idx="3">
                  <c:v>143.5</c:v>
                </c:pt>
                <c:pt idx="4">
                  <c:v>141.6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72.7</c:v>
                </c:pt>
                <c:pt idx="13">
                  <c:v>72.7</c:v>
                </c:pt>
                <c:pt idx="14">
                  <c:v>70.8</c:v>
                </c:pt>
                <c:pt idx="15">
                  <c:v>70.8</c:v>
                </c:pt>
                <c:pt idx="16">
                  <c:v>72.7</c:v>
                </c:pt>
                <c:pt idx="18">
                  <c:v>143.5</c:v>
                </c:pt>
                <c:pt idx="19">
                  <c:v>0</c:v>
                </c:pt>
                <c:pt idx="20">
                  <c:v>0</c:v>
                </c:pt>
                <c:pt idx="21">
                  <c:v>143.5</c:v>
                </c:pt>
                <c:pt idx="22">
                  <c:v>143.5</c:v>
                </c:pt>
                <c:pt idx="24">
                  <c:v>0</c:v>
                </c:pt>
                <c:pt idx="25">
                  <c:v>143.5</c:v>
                </c:pt>
                <c:pt idx="26">
                  <c:v>143.5</c:v>
                </c:pt>
                <c:pt idx="27">
                  <c:v>0</c:v>
                </c:pt>
                <c:pt idx="28">
                  <c:v>0</c:v>
                </c:pt>
                <c:pt idx="30">
                  <c:v>97.25</c:v>
                </c:pt>
                <c:pt idx="31">
                  <c:v>117.82975458216781</c:v>
                </c:pt>
                <c:pt idx="32">
                  <c:v>117.82975458216781</c:v>
                </c:pt>
                <c:pt idx="33">
                  <c:v>97.25</c:v>
                </c:pt>
                <c:pt idx="34">
                  <c:v>97.25</c:v>
                </c:pt>
                <c:pt idx="36">
                  <c:v>46.250000000000007</c:v>
                </c:pt>
                <c:pt idx="37">
                  <c:v>25.670245417832195</c:v>
                </c:pt>
                <c:pt idx="38">
                  <c:v>25.670245417832195</c:v>
                </c:pt>
                <c:pt idx="39">
                  <c:v>46.250000000000007</c:v>
                </c:pt>
                <c:pt idx="40">
                  <c:v>46.250000000000007</c:v>
                </c:pt>
                <c:pt idx="42">
                  <c:v>99.15</c:v>
                </c:pt>
                <c:pt idx="43">
                  <c:v>99.15</c:v>
                </c:pt>
                <c:pt idx="44">
                  <c:v>44.350000000000009</c:v>
                </c:pt>
                <c:pt idx="45">
                  <c:v>44.350000000000009</c:v>
                </c:pt>
                <c:pt idx="46">
                  <c:v>99.15</c:v>
                </c:pt>
                <c:pt idx="48">
                  <c:v>109.85000000000001</c:v>
                </c:pt>
                <c:pt idx="49">
                  <c:v>109.85000000000001</c:v>
                </c:pt>
                <c:pt idx="50">
                  <c:v>107.95</c:v>
                </c:pt>
                <c:pt idx="51">
                  <c:v>107.95</c:v>
                </c:pt>
                <c:pt idx="52">
                  <c:v>109.85000000000001</c:v>
                </c:pt>
                <c:pt idx="54">
                  <c:v>33.65</c:v>
                </c:pt>
                <c:pt idx="55">
                  <c:v>33.65</c:v>
                </c:pt>
                <c:pt idx="56">
                  <c:v>35.549999999999997</c:v>
                </c:pt>
                <c:pt idx="57">
                  <c:v>35.549999999999997</c:v>
                </c:pt>
                <c:pt idx="58">
                  <c:v>33.65</c:v>
                </c:pt>
                <c:pt idx="60">
                  <c:v>25.670245417832195</c:v>
                </c:pt>
                <c:pt idx="61">
                  <c:v>19.795193426632931</c:v>
                </c:pt>
                <c:pt idx="62">
                  <c:v>17.901029416273822</c:v>
                </c:pt>
                <c:pt idx="63">
                  <c:v>23.776081407473086</c:v>
                </c:pt>
                <c:pt idx="64">
                  <c:v>25.670245417832195</c:v>
                </c:pt>
                <c:pt idx="66">
                  <c:v>117.82975458216781</c:v>
                </c:pt>
                <c:pt idx="67">
                  <c:v>123.70480657336708</c:v>
                </c:pt>
                <c:pt idx="68">
                  <c:v>125.59897058372619</c:v>
                </c:pt>
                <c:pt idx="69">
                  <c:v>119.72391859252691</c:v>
                </c:pt>
                <c:pt idx="70">
                  <c:v>117.82975458216781</c:v>
                </c:pt>
                <c:pt idx="72">
                  <c:v>99.15</c:v>
                </c:pt>
                <c:pt idx="73">
                  <c:v>99.15</c:v>
                </c:pt>
                <c:pt idx="74">
                  <c:v>97.25</c:v>
                </c:pt>
                <c:pt idx="75">
                  <c:v>97.25</c:v>
                </c:pt>
                <c:pt idx="76">
                  <c:v>99.15</c:v>
                </c:pt>
                <c:pt idx="78">
                  <c:v>44.350000000000009</c:v>
                </c:pt>
                <c:pt idx="79">
                  <c:v>44.350000000000009</c:v>
                </c:pt>
                <c:pt idx="80">
                  <c:v>46.250000000000007</c:v>
                </c:pt>
                <c:pt idx="81">
                  <c:v>46.250000000000007</c:v>
                </c:pt>
                <c:pt idx="82">
                  <c:v>44.350000000000009</c:v>
                </c:pt>
                <c:pt idx="84">
                  <c:v>71.75</c:v>
                </c:pt>
                <c:pt idx="85">
                  <c:v>71.75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143.5</c:v>
                </c:pt>
              </c:numCache>
            </c:numRef>
          </c:xVal>
          <c:yVal>
            <c:numRef>
              <c:f>Panels!$G$9:$G$115</c:f>
              <c:numCache>
                <c:formatCode>0.0</c:formatCode>
                <c:ptCount val="107"/>
                <c:pt idx="0">
                  <c:v>91.5</c:v>
                </c:pt>
                <c:pt idx="1">
                  <c:v>1.9</c:v>
                </c:pt>
                <c:pt idx="2">
                  <c:v>1.9</c:v>
                </c:pt>
                <c:pt idx="3">
                  <c:v>91.5</c:v>
                </c:pt>
                <c:pt idx="4">
                  <c:v>91.5</c:v>
                </c:pt>
                <c:pt idx="6">
                  <c:v>91.5</c:v>
                </c:pt>
                <c:pt idx="7">
                  <c:v>1.9</c:v>
                </c:pt>
                <c:pt idx="8">
                  <c:v>1.9</c:v>
                </c:pt>
                <c:pt idx="9">
                  <c:v>91.5</c:v>
                </c:pt>
                <c:pt idx="10">
                  <c:v>91.5</c:v>
                </c:pt>
                <c:pt idx="12">
                  <c:v>1.9</c:v>
                </c:pt>
                <c:pt idx="13">
                  <c:v>10.700000000000001</c:v>
                </c:pt>
                <c:pt idx="14">
                  <c:v>10.700000000000001</c:v>
                </c:pt>
                <c:pt idx="15">
                  <c:v>1.9</c:v>
                </c:pt>
                <c:pt idx="16">
                  <c:v>1.9</c:v>
                </c:pt>
                <c:pt idx="18">
                  <c:v>91.5</c:v>
                </c:pt>
                <c:pt idx="19">
                  <c:v>91.5</c:v>
                </c:pt>
                <c:pt idx="20">
                  <c:v>0</c:v>
                </c:pt>
                <c:pt idx="21">
                  <c:v>0</c:v>
                </c:pt>
                <c:pt idx="22">
                  <c:v>91.5</c:v>
                </c:pt>
                <c:pt idx="24">
                  <c:v>0</c:v>
                </c:pt>
                <c:pt idx="25">
                  <c:v>0</c:v>
                </c:pt>
                <c:pt idx="26">
                  <c:v>1.9</c:v>
                </c:pt>
                <c:pt idx="27">
                  <c:v>1.9</c:v>
                </c:pt>
                <c:pt idx="28">
                  <c:v>0</c:v>
                </c:pt>
                <c:pt idx="30">
                  <c:v>91.5</c:v>
                </c:pt>
                <c:pt idx="31">
                  <c:v>91.5</c:v>
                </c:pt>
                <c:pt idx="32">
                  <c:v>89.6</c:v>
                </c:pt>
                <c:pt idx="33">
                  <c:v>89.6</c:v>
                </c:pt>
                <c:pt idx="34">
                  <c:v>91.5</c:v>
                </c:pt>
                <c:pt idx="36">
                  <c:v>91.5</c:v>
                </c:pt>
                <c:pt idx="37">
                  <c:v>91.5</c:v>
                </c:pt>
                <c:pt idx="38">
                  <c:v>89.6</c:v>
                </c:pt>
                <c:pt idx="39">
                  <c:v>89.6</c:v>
                </c:pt>
                <c:pt idx="40">
                  <c:v>91.5</c:v>
                </c:pt>
                <c:pt idx="42">
                  <c:v>10.700000000000001</c:v>
                </c:pt>
                <c:pt idx="43">
                  <c:v>12.600000000000001</c:v>
                </c:pt>
                <c:pt idx="44">
                  <c:v>12.600000000000001</c:v>
                </c:pt>
                <c:pt idx="45">
                  <c:v>10.700000000000001</c:v>
                </c:pt>
                <c:pt idx="46">
                  <c:v>10.700000000000001</c:v>
                </c:pt>
                <c:pt idx="48">
                  <c:v>1.9</c:v>
                </c:pt>
                <c:pt idx="49">
                  <c:v>80.8</c:v>
                </c:pt>
                <c:pt idx="50">
                  <c:v>80.8</c:v>
                </c:pt>
                <c:pt idx="51">
                  <c:v>1.9</c:v>
                </c:pt>
                <c:pt idx="52">
                  <c:v>1.9</c:v>
                </c:pt>
                <c:pt idx="54">
                  <c:v>1.9</c:v>
                </c:pt>
                <c:pt idx="55">
                  <c:v>80.8</c:v>
                </c:pt>
                <c:pt idx="56">
                  <c:v>80.8</c:v>
                </c:pt>
                <c:pt idx="57">
                  <c:v>1.9</c:v>
                </c:pt>
                <c:pt idx="58">
                  <c:v>1.9</c:v>
                </c:pt>
                <c:pt idx="60">
                  <c:v>91.5</c:v>
                </c:pt>
                <c:pt idx="61">
                  <c:v>16.715087714469703</c:v>
                </c:pt>
                <c:pt idx="62">
                  <c:v>16.863891954531258</c:v>
                </c:pt>
                <c:pt idx="63">
                  <c:v>91.648804240061551</c:v>
                </c:pt>
                <c:pt idx="64">
                  <c:v>91.5</c:v>
                </c:pt>
                <c:pt idx="66">
                  <c:v>91.5</c:v>
                </c:pt>
                <c:pt idx="67">
                  <c:v>16.715087714469703</c:v>
                </c:pt>
                <c:pt idx="68">
                  <c:v>16.863891954531258</c:v>
                </c:pt>
                <c:pt idx="69">
                  <c:v>91.648804240061551</c:v>
                </c:pt>
                <c:pt idx="70">
                  <c:v>91.5</c:v>
                </c:pt>
                <c:pt idx="72">
                  <c:v>12.600000000000001</c:v>
                </c:pt>
                <c:pt idx="73">
                  <c:v>89.6</c:v>
                </c:pt>
                <c:pt idx="74">
                  <c:v>89.6</c:v>
                </c:pt>
                <c:pt idx="75">
                  <c:v>12.600000000000001</c:v>
                </c:pt>
                <c:pt idx="76">
                  <c:v>12.600000000000001</c:v>
                </c:pt>
                <c:pt idx="78">
                  <c:v>12.600000000000001</c:v>
                </c:pt>
                <c:pt idx="79">
                  <c:v>89.6</c:v>
                </c:pt>
                <c:pt idx="80">
                  <c:v>89.6</c:v>
                </c:pt>
                <c:pt idx="81">
                  <c:v>12.600000000000001</c:v>
                </c:pt>
                <c:pt idx="82">
                  <c:v>12.600000000000001</c:v>
                </c:pt>
                <c:pt idx="84">
                  <c:v>12.600000000000001</c:v>
                </c:pt>
                <c:pt idx="85">
                  <c:v>91.5</c:v>
                </c:pt>
                <c:pt idx="87">
                  <c:v>0</c:v>
                </c:pt>
                <c:pt idx="88">
                  <c:v>143.5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F7-4412-B887-44F61B9F5490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Path!$F$16:$F$153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9">
                  <c:v>99.15</c:v>
                </c:pt>
                <c:pt idx="10">
                  <c:v>103.55000000000001</c:v>
                </c:pt>
                <c:pt idx="12">
                  <c:v>99.15</c:v>
                </c:pt>
                <c:pt idx="13">
                  <c:v>107.95</c:v>
                </c:pt>
                <c:pt idx="15">
                  <c:v>99.15</c:v>
                </c:pt>
                <c:pt idx="16">
                  <c:v>107.95</c:v>
                </c:pt>
                <c:pt idx="18">
                  <c:v>99.15</c:v>
                </c:pt>
                <c:pt idx="19">
                  <c:v>107.95</c:v>
                </c:pt>
                <c:pt idx="21">
                  <c:v>107.95</c:v>
                </c:pt>
                <c:pt idx="22">
                  <c:v>99.15</c:v>
                </c:pt>
                <c:pt idx="24">
                  <c:v>107.95</c:v>
                </c:pt>
                <c:pt idx="25">
                  <c:v>103.55000000000001</c:v>
                </c:pt>
                <c:pt idx="27">
                  <c:v>107.95</c:v>
                </c:pt>
                <c:pt idx="28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3">
                  <c:v>109.85000000000001</c:v>
                </c:pt>
                <c:pt idx="34">
                  <c:v>113.91427941111469</c:v>
                </c:pt>
                <c:pt idx="36">
                  <c:v>109.85000000000001</c:v>
                </c:pt>
                <c:pt idx="37">
                  <c:v>118.31090291366706</c:v>
                </c:pt>
                <c:pt idx="39">
                  <c:v>109.85000000000001</c:v>
                </c:pt>
                <c:pt idx="40">
                  <c:v>118.64324700510475</c:v>
                </c:pt>
                <c:pt idx="42">
                  <c:v>123.70480657336708</c:v>
                </c:pt>
                <c:pt idx="43">
                  <c:v>109.85000000000001</c:v>
                </c:pt>
                <c:pt idx="45">
                  <c:v>123.70480657336708</c:v>
                </c:pt>
                <c:pt idx="46">
                  <c:v>109.85000000000001</c:v>
                </c:pt>
                <c:pt idx="48">
                  <c:v>123.70480657336708</c:v>
                </c:pt>
                <c:pt idx="49">
                  <c:v>117.06792154878001</c:v>
                </c:pt>
                <c:pt idx="51">
                  <c:v>123.70480657336708</c:v>
                </c:pt>
                <c:pt idx="52">
                  <c:v>124.28584309756</c:v>
                </c:pt>
                <c:pt idx="54">
                  <c:v>125.59897058372619</c:v>
                </c:pt>
                <c:pt idx="55">
                  <c:v>126.18584309756</c:v>
                </c:pt>
                <c:pt idx="57">
                  <c:v>125.59897058372619</c:v>
                </c:pt>
                <c:pt idx="58">
                  <c:v>133.89292154878001</c:v>
                </c:pt>
                <c:pt idx="60">
                  <c:v>125.59897058372619</c:v>
                </c:pt>
                <c:pt idx="61">
                  <c:v>141.6</c:v>
                </c:pt>
                <c:pt idx="63">
                  <c:v>125.59897058372619</c:v>
                </c:pt>
                <c:pt idx="64">
                  <c:v>141.6</c:v>
                </c:pt>
                <c:pt idx="66">
                  <c:v>141.6</c:v>
                </c:pt>
                <c:pt idx="67">
                  <c:v>119.80276663796774</c:v>
                </c:pt>
                <c:pt idx="72">
                  <c:v>46.250000000000007</c:v>
                </c:pt>
                <c:pt idx="73">
                  <c:v>97.25</c:v>
                </c:pt>
                <c:pt idx="75">
                  <c:v>46.250000000000007</c:v>
                </c:pt>
                <c:pt idx="76">
                  <c:v>97.25</c:v>
                </c:pt>
              </c:numCache>
            </c:numRef>
          </c:xVal>
          <c:yVal>
            <c:numRef>
              <c:f>Path!$G$16:$G$153</c:f>
              <c:numCache>
                <c:formatCode>0.0</c:formatCode>
                <c:ptCount val="138"/>
                <c:pt idx="0">
                  <c:v>10.700000000000001</c:v>
                </c:pt>
                <c:pt idx="1">
                  <c:v>1.9</c:v>
                </c:pt>
                <c:pt idx="3">
                  <c:v>10.700000000000001</c:v>
                </c:pt>
                <c:pt idx="4">
                  <c:v>1.9</c:v>
                </c:pt>
                <c:pt idx="6">
                  <c:v>10.700000000000001</c:v>
                </c:pt>
                <c:pt idx="7">
                  <c:v>1.9</c:v>
                </c:pt>
                <c:pt idx="9">
                  <c:v>10.700000000000001</c:v>
                </c:pt>
                <c:pt idx="10">
                  <c:v>1.9</c:v>
                </c:pt>
                <c:pt idx="12">
                  <c:v>10.700000000000001</c:v>
                </c:pt>
                <c:pt idx="13">
                  <c:v>6.3000000000000007</c:v>
                </c:pt>
                <c:pt idx="15">
                  <c:v>10.700000000000001</c:v>
                </c:pt>
                <c:pt idx="16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1">
                  <c:v>80.8</c:v>
                </c:pt>
                <c:pt idx="22">
                  <c:v>85.199999999999989</c:v>
                </c:pt>
                <c:pt idx="24">
                  <c:v>80.8</c:v>
                </c:pt>
                <c:pt idx="25">
                  <c:v>89.6</c:v>
                </c:pt>
                <c:pt idx="27">
                  <c:v>80.8</c:v>
                </c:pt>
                <c:pt idx="28">
                  <c:v>89.6</c:v>
                </c:pt>
                <c:pt idx="30">
                  <c:v>80.8</c:v>
                </c:pt>
                <c:pt idx="31">
                  <c:v>89.6</c:v>
                </c:pt>
                <c:pt idx="33">
                  <c:v>80.8</c:v>
                </c:pt>
                <c:pt idx="34">
                  <c:v>89.6</c:v>
                </c:pt>
                <c:pt idx="36">
                  <c:v>80.8</c:v>
                </c:pt>
                <c:pt idx="37">
                  <c:v>85.199999999999989</c:v>
                </c:pt>
                <c:pt idx="39">
                  <c:v>80.8</c:v>
                </c:pt>
                <c:pt idx="40">
                  <c:v>81.144864490490136</c:v>
                </c:pt>
                <c:pt idx="42">
                  <c:v>16.715087714469703</c:v>
                </c:pt>
                <c:pt idx="43">
                  <c:v>16.17171268963661</c:v>
                </c:pt>
                <c:pt idx="45">
                  <c:v>16.715087714469703</c:v>
                </c:pt>
                <c:pt idx="46">
                  <c:v>9.0358563448183045</c:v>
                </c:pt>
                <c:pt idx="48">
                  <c:v>16.715087714469703</c:v>
                </c:pt>
                <c:pt idx="49">
                  <c:v>1.9</c:v>
                </c:pt>
                <c:pt idx="51">
                  <c:v>16.715087714469703</c:v>
                </c:pt>
                <c:pt idx="52">
                  <c:v>1.9</c:v>
                </c:pt>
                <c:pt idx="54">
                  <c:v>16.863891954531258</c:v>
                </c:pt>
                <c:pt idx="55">
                  <c:v>1.9</c:v>
                </c:pt>
                <c:pt idx="57">
                  <c:v>16.863891954531258</c:v>
                </c:pt>
                <c:pt idx="58">
                  <c:v>1.9</c:v>
                </c:pt>
                <c:pt idx="60">
                  <c:v>16.863891954531258</c:v>
                </c:pt>
                <c:pt idx="61">
                  <c:v>9.6957201072176211</c:v>
                </c:pt>
                <c:pt idx="63">
                  <c:v>16.863891954531258</c:v>
                </c:pt>
                <c:pt idx="64">
                  <c:v>17.491440214435244</c:v>
                </c:pt>
                <c:pt idx="66">
                  <c:v>91.5</c:v>
                </c:pt>
                <c:pt idx="67">
                  <c:v>90.645129009440325</c:v>
                </c:pt>
                <c:pt idx="72">
                  <c:v>12.600000000000001</c:v>
                </c:pt>
                <c:pt idx="73">
                  <c:v>12.600000000000001</c:v>
                </c:pt>
                <c:pt idx="75">
                  <c:v>91.5</c:v>
                </c:pt>
                <c:pt idx="76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F7-4412-B887-44F61B9F5490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Panels!$F$134:$F$149</c:f>
              <c:numCache>
                <c:formatCode>0.0</c:formatCode>
                <c:ptCount val="16"/>
                <c:pt idx="0">
                  <c:v>94.75</c:v>
                </c:pt>
                <c:pt idx="1">
                  <c:v>71.75</c:v>
                </c:pt>
                <c:pt idx="2">
                  <c:v>71.75</c:v>
                </c:pt>
                <c:pt idx="3">
                  <c:v>79.25</c:v>
                </c:pt>
                <c:pt idx="4">
                  <c:v>79.25</c:v>
                </c:pt>
                <c:pt idx="5">
                  <c:v>92.85</c:v>
                </c:pt>
                <c:pt idx="7">
                  <c:v>48.75</c:v>
                </c:pt>
                <c:pt idx="8">
                  <c:v>71.75</c:v>
                </c:pt>
                <c:pt idx="9">
                  <c:v>71.75</c:v>
                </c:pt>
                <c:pt idx="10">
                  <c:v>64.25</c:v>
                </c:pt>
                <c:pt idx="11">
                  <c:v>64.25</c:v>
                </c:pt>
                <c:pt idx="12">
                  <c:v>50.65</c:v>
                </c:pt>
                <c:pt idx="14">
                  <c:v>64.25</c:v>
                </c:pt>
                <c:pt idx="15">
                  <c:v>79.25</c:v>
                </c:pt>
              </c:numCache>
            </c:numRef>
          </c:xVal>
          <c:yVal>
            <c:numRef>
              <c:f>Panels!$G$134:$G$149</c:f>
              <c:numCache>
                <c:formatCode>0.0</c:formatCode>
                <c:ptCount val="16"/>
                <c:pt idx="0">
                  <c:v>12.600000000000001</c:v>
                </c:pt>
                <c:pt idx="1">
                  <c:v>12.600000000000001</c:v>
                </c:pt>
                <c:pt idx="2">
                  <c:v>37.400000000000006</c:v>
                </c:pt>
                <c:pt idx="3">
                  <c:v>37.400000000000006</c:v>
                </c:pt>
                <c:pt idx="4">
                  <c:v>27.400000000000006</c:v>
                </c:pt>
                <c:pt idx="5">
                  <c:v>12.600000000000001</c:v>
                </c:pt>
                <c:pt idx="7">
                  <c:v>12.600000000000001</c:v>
                </c:pt>
                <c:pt idx="8">
                  <c:v>12.600000000000001</c:v>
                </c:pt>
                <c:pt idx="9">
                  <c:v>37.400000000000006</c:v>
                </c:pt>
                <c:pt idx="10">
                  <c:v>37.400000000000006</c:v>
                </c:pt>
                <c:pt idx="11">
                  <c:v>27.400000000000006</c:v>
                </c:pt>
                <c:pt idx="12">
                  <c:v>12.600000000000001</c:v>
                </c:pt>
                <c:pt idx="14">
                  <c:v>27.400000000000006</c:v>
                </c:pt>
                <c:pt idx="15">
                  <c:v>27.400000000000006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F7-4412-B887-44F61B9F5490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Path!$J$16:$J$153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2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5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8">
                  <c:v>99.15</c:v>
                </c:pt>
                <c:pt idx="9">
                  <c:v>101.35000000000001</c:v>
                </c:pt>
                <c:pt idx="10">
                  <c:v>101.35000000000001</c:v>
                </c:pt>
                <c:pt idx="11">
                  <c:v>101.35000000000001</c:v>
                </c:pt>
                <c:pt idx="12">
                  <c:v>103.55000000000001</c:v>
                </c:pt>
                <c:pt idx="13">
                  <c:v>103.55000000000001</c:v>
                </c:pt>
                <c:pt idx="14">
                  <c:v>103.55000000000001</c:v>
                </c:pt>
                <c:pt idx="15">
                  <c:v>103.55000000000001</c:v>
                </c:pt>
                <c:pt idx="16">
                  <c:v>103.55000000000001</c:v>
                </c:pt>
                <c:pt idx="17">
                  <c:v>103.55000000000001</c:v>
                </c:pt>
                <c:pt idx="18">
                  <c:v>103.55000000000001</c:v>
                </c:pt>
                <c:pt idx="19">
                  <c:v>103.55000000000001</c:v>
                </c:pt>
                <c:pt idx="20">
                  <c:v>103.55000000000001</c:v>
                </c:pt>
                <c:pt idx="21">
                  <c:v>103.55000000000001</c:v>
                </c:pt>
                <c:pt idx="22">
                  <c:v>103.55000000000001</c:v>
                </c:pt>
                <c:pt idx="23">
                  <c:v>103.55000000000001</c:v>
                </c:pt>
                <c:pt idx="24">
                  <c:v>105.75</c:v>
                </c:pt>
                <c:pt idx="25">
                  <c:v>105.75</c:v>
                </c:pt>
                <c:pt idx="26">
                  <c:v>105.75</c:v>
                </c:pt>
                <c:pt idx="27">
                  <c:v>107.95</c:v>
                </c:pt>
                <c:pt idx="28">
                  <c:v>107.95</c:v>
                </c:pt>
                <c:pt idx="29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2">
                  <c:v>109.85000000000001</c:v>
                </c:pt>
                <c:pt idx="33">
                  <c:v>111.88213970555735</c:v>
                </c:pt>
                <c:pt idx="34">
                  <c:v>111.88213970555735</c:v>
                </c:pt>
                <c:pt idx="35">
                  <c:v>111.88213970555735</c:v>
                </c:pt>
                <c:pt idx="36">
                  <c:v>114.08045145683354</c:v>
                </c:pt>
                <c:pt idx="37">
                  <c:v>114.08045145683354</c:v>
                </c:pt>
                <c:pt idx="38">
                  <c:v>114.08045145683354</c:v>
                </c:pt>
                <c:pt idx="39">
                  <c:v>114.24662350255238</c:v>
                </c:pt>
                <c:pt idx="40">
                  <c:v>114.24662350255238</c:v>
                </c:pt>
                <c:pt idx="41">
                  <c:v>114.24662350255238</c:v>
                </c:pt>
                <c:pt idx="42">
                  <c:v>116.77740328668355</c:v>
                </c:pt>
                <c:pt idx="43">
                  <c:v>116.77740328668355</c:v>
                </c:pt>
                <c:pt idx="44">
                  <c:v>116.77740328668355</c:v>
                </c:pt>
                <c:pt idx="45">
                  <c:v>116.77740328668355</c:v>
                </c:pt>
                <c:pt idx="46">
                  <c:v>116.77740328668355</c:v>
                </c:pt>
                <c:pt idx="47">
                  <c:v>116.77740328668355</c:v>
                </c:pt>
                <c:pt idx="48">
                  <c:v>120.38636406107355</c:v>
                </c:pt>
                <c:pt idx="49">
                  <c:v>120.38636406107355</c:v>
                </c:pt>
                <c:pt idx="50">
                  <c:v>120.38636406107355</c:v>
                </c:pt>
                <c:pt idx="51">
                  <c:v>123.99532483546355</c:v>
                </c:pt>
                <c:pt idx="52">
                  <c:v>123.99532483546355</c:v>
                </c:pt>
                <c:pt idx="53">
                  <c:v>123.99532483546355</c:v>
                </c:pt>
                <c:pt idx="54">
                  <c:v>125.89240684064309</c:v>
                </c:pt>
                <c:pt idx="55">
                  <c:v>125.89240684064309</c:v>
                </c:pt>
                <c:pt idx="56">
                  <c:v>125.89240684064309</c:v>
                </c:pt>
                <c:pt idx="57">
                  <c:v>129.74594606625311</c:v>
                </c:pt>
                <c:pt idx="58">
                  <c:v>129.74594606625311</c:v>
                </c:pt>
                <c:pt idx="59">
                  <c:v>129.74594606625311</c:v>
                </c:pt>
                <c:pt idx="60">
                  <c:v>133.59948529186309</c:v>
                </c:pt>
                <c:pt idx="61">
                  <c:v>133.59948529186309</c:v>
                </c:pt>
                <c:pt idx="62">
                  <c:v>133.59948529186309</c:v>
                </c:pt>
                <c:pt idx="63">
                  <c:v>133.59948529186309</c:v>
                </c:pt>
                <c:pt idx="64">
                  <c:v>133.59948529186309</c:v>
                </c:pt>
                <c:pt idx="65">
                  <c:v>133.59948529186309</c:v>
                </c:pt>
                <c:pt idx="66">
                  <c:v>130.70138331898386</c:v>
                </c:pt>
                <c:pt idx="67">
                  <c:v>130.70138331898386</c:v>
                </c:pt>
                <c:pt idx="68">
                  <c:v>130.70138331898386</c:v>
                </c:pt>
                <c:pt idx="72">
                  <c:v>71.75</c:v>
                </c:pt>
                <c:pt idx="73">
                  <c:v>71.75</c:v>
                </c:pt>
                <c:pt idx="74">
                  <c:v>71.75</c:v>
                </c:pt>
                <c:pt idx="75">
                  <c:v>71.75</c:v>
                </c:pt>
                <c:pt idx="76">
                  <c:v>71.75</c:v>
                </c:pt>
                <c:pt idx="77">
                  <c:v>71.75</c:v>
                </c:pt>
              </c:numCache>
            </c:numRef>
          </c:xVal>
          <c:yVal>
            <c:numRef>
              <c:f>Path!$K$16:$K$153</c:f>
              <c:numCache>
                <c:formatCode>0.0</c:formatCode>
                <c:ptCount val="138"/>
                <c:pt idx="0">
                  <c:v>6.3000000000000007</c:v>
                </c:pt>
                <c:pt idx="1">
                  <c:v>6.3000000000000007</c:v>
                </c:pt>
                <c:pt idx="2">
                  <c:v>6.3000000000000007</c:v>
                </c:pt>
                <c:pt idx="3">
                  <c:v>6.3000000000000007</c:v>
                </c:pt>
                <c:pt idx="4">
                  <c:v>6.3000000000000007</c:v>
                </c:pt>
                <c:pt idx="5">
                  <c:v>6.3000000000000007</c:v>
                </c:pt>
                <c:pt idx="6">
                  <c:v>6.3000000000000007</c:v>
                </c:pt>
                <c:pt idx="7">
                  <c:v>6.3000000000000007</c:v>
                </c:pt>
                <c:pt idx="8">
                  <c:v>6.3000000000000007</c:v>
                </c:pt>
                <c:pt idx="9">
                  <c:v>6.3000000000000007</c:v>
                </c:pt>
                <c:pt idx="10">
                  <c:v>6.3000000000000007</c:v>
                </c:pt>
                <c:pt idx="11">
                  <c:v>6.3000000000000007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10.700000000000001</c:v>
                </c:pt>
                <c:pt idx="16">
                  <c:v>10.700000000000001</c:v>
                </c:pt>
                <c:pt idx="17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0">
                  <c:v>80.8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85.199999999999989</c:v>
                </c:pt>
                <c:pt idx="25">
                  <c:v>85.199999999999989</c:v>
                </c:pt>
                <c:pt idx="26">
                  <c:v>85.199999999999989</c:v>
                </c:pt>
                <c:pt idx="27">
                  <c:v>85.199999999999989</c:v>
                </c:pt>
                <c:pt idx="28">
                  <c:v>85.199999999999989</c:v>
                </c:pt>
                <c:pt idx="29">
                  <c:v>85.199999999999989</c:v>
                </c:pt>
                <c:pt idx="30">
                  <c:v>85.199999999999989</c:v>
                </c:pt>
                <c:pt idx="31">
                  <c:v>85.199999999999989</c:v>
                </c:pt>
                <c:pt idx="32">
                  <c:v>85.199999999999989</c:v>
                </c:pt>
                <c:pt idx="33">
                  <c:v>85.199999999999989</c:v>
                </c:pt>
                <c:pt idx="34">
                  <c:v>85.199999999999989</c:v>
                </c:pt>
                <c:pt idx="35">
                  <c:v>85.199999999999989</c:v>
                </c:pt>
                <c:pt idx="36">
                  <c:v>83</c:v>
                </c:pt>
                <c:pt idx="37">
                  <c:v>83</c:v>
                </c:pt>
                <c:pt idx="38">
                  <c:v>83</c:v>
                </c:pt>
                <c:pt idx="39">
                  <c:v>80.972432245245074</c:v>
                </c:pt>
                <c:pt idx="40">
                  <c:v>80.972432245245074</c:v>
                </c:pt>
                <c:pt idx="41">
                  <c:v>80.972432245245074</c:v>
                </c:pt>
                <c:pt idx="42">
                  <c:v>16.443400202053155</c:v>
                </c:pt>
                <c:pt idx="43">
                  <c:v>16.443400202053155</c:v>
                </c:pt>
                <c:pt idx="44">
                  <c:v>16.443400202053155</c:v>
                </c:pt>
                <c:pt idx="45">
                  <c:v>12.875472029644005</c:v>
                </c:pt>
                <c:pt idx="46">
                  <c:v>12.875472029644005</c:v>
                </c:pt>
                <c:pt idx="47">
                  <c:v>12.875472029644005</c:v>
                </c:pt>
                <c:pt idx="48">
                  <c:v>9.307543857234851</c:v>
                </c:pt>
                <c:pt idx="49">
                  <c:v>9.307543857234851</c:v>
                </c:pt>
                <c:pt idx="50">
                  <c:v>9.307543857234851</c:v>
                </c:pt>
                <c:pt idx="51">
                  <c:v>9.307543857234851</c:v>
                </c:pt>
                <c:pt idx="52">
                  <c:v>9.307543857234851</c:v>
                </c:pt>
                <c:pt idx="53">
                  <c:v>9.307543857234851</c:v>
                </c:pt>
                <c:pt idx="54">
                  <c:v>9.3819459772656284</c:v>
                </c:pt>
                <c:pt idx="55">
                  <c:v>9.3819459772656284</c:v>
                </c:pt>
                <c:pt idx="56">
                  <c:v>9.3819459772656284</c:v>
                </c:pt>
                <c:pt idx="57">
                  <c:v>9.3819459772656284</c:v>
                </c:pt>
                <c:pt idx="58">
                  <c:v>9.3819459772656284</c:v>
                </c:pt>
                <c:pt idx="59">
                  <c:v>9.3819459772656284</c:v>
                </c:pt>
                <c:pt idx="60">
                  <c:v>13.27980603087444</c:v>
                </c:pt>
                <c:pt idx="61">
                  <c:v>13.27980603087444</c:v>
                </c:pt>
                <c:pt idx="62">
                  <c:v>13.27980603087444</c:v>
                </c:pt>
                <c:pt idx="63">
                  <c:v>17.177666084483249</c:v>
                </c:pt>
                <c:pt idx="64">
                  <c:v>17.177666084483249</c:v>
                </c:pt>
                <c:pt idx="65">
                  <c:v>17.177666084483249</c:v>
                </c:pt>
                <c:pt idx="66">
                  <c:v>91.072564504720162</c:v>
                </c:pt>
                <c:pt idx="67">
                  <c:v>91.072564504720162</c:v>
                </c:pt>
                <c:pt idx="68">
                  <c:v>91.072564504720162</c:v>
                </c:pt>
                <c:pt idx="72">
                  <c:v>12.600000000000001</c:v>
                </c:pt>
                <c:pt idx="73">
                  <c:v>12.600000000000001</c:v>
                </c:pt>
                <c:pt idx="74">
                  <c:v>12.600000000000001</c:v>
                </c:pt>
                <c:pt idx="75">
                  <c:v>91.5</c:v>
                </c:pt>
                <c:pt idx="76">
                  <c:v>91.5</c:v>
                </c:pt>
                <c:pt idx="77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F7-4412-B887-44F61B9F5490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Panels!$F$96:$F$100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143.5</c:v>
                </c:pt>
              </c:numCache>
            </c:numRef>
          </c:xVal>
          <c:yVal>
            <c:numRef>
              <c:f>Panels!$G$96:$G$100</c:f>
              <c:numCache>
                <c:formatCode>0.0</c:formatCode>
                <c:ptCount val="5"/>
                <c:pt idx="0">
                  <c:v>0</c:v>
                </c:pt>
                <c:pt idx="1">
                  <c:v>143.5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F7-4412-B887-44F61B9F5490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Panels!$F$93:$F$94</c:f>
              <c:numCache>
                <c:formatCode>0.0</c:formatCode>
                <c:ptCount val="2"/>
                <c:pt idx="0">
                  <c:v>71.75</c:v>
                </c:pt>
                <c:pt idx="1">
                  <c:v>71.75</c:v>
                </c:pt>
              </c:numCache>
            </c:numRef>
          </c:xVal>
          <c:yVal>
            <c:numRef>
              <c:f>Panels!$G$93:$G$94</c:f>
              <c:numCache>
                <c:formatCode>0.0</c:formatCode>
                <c:ptCount val="2"/>
                <c:pt idx="0">
                  <c:v>12.600000000000001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F7-4412-B887-44F61B9F5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Panels!$F$9:$F$115</c:f>
              <c:numCache>
                <c:formatCode>0.0</c:formatCode>
                <c:ptCount val="107"/>
                <c:pt idx="0">
                  <c:v>141.6</c:v>
                </c:pt>
                <c:pt idx="1">
                  <c:v>141.6</c:v>
                </c:pt>
                <c:pt idx="2">
                  <c:v>143.5</c:v>
                </c:pt>
                <c:pt idx="3">
                  <c:v>143.5</c:v>
                </c:pt>
                <c:pt idx="4">
                  <c:v>141.6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72.7</c:v>
                </c:pt>
                <c:pt idx="13">
                  <c:v>72.7</c:v>
                </c:pt>
                <c:pt idx="14">
                  <c:v>70.8</c:v>
                </c:pt>
                <c:pt idx="15">
                  <c:v>70.8</c:v>
                </c:pt>
                <c:pt idx="16">
                  <c:v>72.7</c:v>
                </c:pt>
                <c:pt idx="18">
                  <c:v>143.5</c:v>
                </c:pt>
                <c:pt idx="19">
                  <c:v>0</c:v>
                </c:pt>
                <c:pt idx="20">
                  <c:v>0</c:v>
                </c:pt>
                <c:pt idx="21">
                  <c:v>143.5</c:v>
                </c:pt>
                <c:pt idx="22">
                  <c:v>143.5</c:v>
                </c:pt>
                <c:pt idx="24">
                  <c:v>0</c:v>
                </c:pt>
                <c:pt idx="25">
                  <c:v>143.5</c:v>
                </c:pt>
                <c:pt idx="26">
                  <c:v>143.5</c:v>
                </c:pt>
                <c:pt idx="27">
                  <c:v>0</c:v>
                </c:pt>
                <c:pt idx="28">
                  <c:v>0</c:v>
                </c:pt>
                <c:pt idx="30">
                  <c:v>97.25</c:v>
                </c:pt>
                <c:pt idx="31">
                  <c:v>117.82975458216781</c:v>
                </c:pt>
                <c:pt idx="32">
                  <c:v>117.82975458216781</c:v>
                </c:pt>
                <c:pt idx="33">
                  <c:v>97.25</c:v>
                </c:pt>
                <c:pt idx="34">
                  <c:v>97.25</c:v>
                </c:pt>
                <c:pt idx="36">
                  <c:v>46.250000000000007</c:v>
                </c:pt>
                <c:pt idx="37">
                  <c:v>25.670245417832195</c:v>
                </c:pt>
                <c:pt idx="38">
                  <c:v>25.670245417832195</c:v>
                </c:pt>
                <c:pt idx="39">
                  <c:v>46.250000000000007</c:v>
                </c:pt>
                <c:pt idx="40">
                  <c:v>46.250000000000007</c:v>
                </c:pt>
                <c:pt idx="42">
                  <c:v>99.15</c:v>
                </c:pt>
                <c:pt idx="43">
                  <c:v>99.15</c:v>
                </c:pt>
                <c:pt idx="44">
                  <c:v>44.350000000000009</c:v>
                </c:pt>
                <c:pt idx="45">
                  <c:v>44.350000000000009</c:v>
                </c:pt>
                <c:pt idx="46">
                  <c:v>99.15</c:v>
                </c:pt>
                <c:pt idx="48">
                  <c:v>109.85000000000001</c:v>
                </c:pt>
                <c:pt idx="49">
                  <c:v>109.85000000000001</c:v>
                </c:pt>
                <c:pt idx="50">
                  <c:v>107.95</c:v>
                </c:pt>
                <c:pt idx="51">
                  <c:v>107.95</c:v>
                </c:pt>
                <c:pt idx="52">
                  <c:v>109.85000000000001</c:v>
                </c:pt>
                <c:pt idx="54">
                  <c:v>33.65</c:v>
                </c:pt>
                <c:pt idx="55">
                  <c:v>33.65</c:v>
                </c:pt>
                <c:pt idx="56">
                  <c:v>35.549999999999997</c:v>
                </c:pt>
                <c:pt idx="57">
                  <c:v>35.549999999999997</c:v>
                </c:pt>
                <c:pt idx="58">
                  <c:v>33.65</c:v>
                </c:pt>
                <c:pt idx="60">
                  <c:v>25.670245417832195</c:v>
                </c:pt>
                <c:pt idx="61">
                  <c:v>19.795193426632931</c:v>
                </c:pt>
                <c:pt idx="62">
                  <c:v>17.901029416273822</c:v>
                </c:pt>
                <c:pt idx="63">
                  <c:v>23.776081407473086</c:v>
                </c:pt>
                <c:pt idx="64">
                  <c:v>25.670245417832195</c:v>
                </c:pt>
                <c:pt idx="66">
                  <c:v>117.82975458216781</c:v>
                </c:pt>
                <c:pt idx="67">
                  <c:v>123.70480657336708</c:v>
                </c:pt>
                <c:pt idx="68">
                  <c:v>125.59897058372619</c:v>
                </c:pt>
                <c:pt idx="69">
                  <c:v>119.72391859252691</c:v>
                </c:pt>
                <c:pt idx="70">
                  <c:v>117.82975458216781</c:v>
                </c:pt>
                <c:pt idx="72">
                  <c:v>99.15</c:v>
                </c:pt>
                <c:pt idx="73">
                  <c:v>99.15</c:v>
                </c:pt>
                <c:pt idx="74">
                  <c:v>97.25</c:v>
                </c:pt>
                <c:pt idx="75">
                  <c:v>97.25</c:v>
                </c:pt>
                <c:pt idx="76">
                  <c:v>99.15</c:v>
                </c:pt>
                <c:pt idx="78">
                  <c:v>44.350000000000009</c:v>
                </c:pt>
                <c:pt idx="79">
                  <c:v>44.350000000000009</c:v>
                </c:pt>
                <c:pt idx="80">
                  <c:v>46.250000000000007</c:v>
                </c:pt>
                <c:pt idx="81">
                  <c:v>46.250000000000007</c:v>
                </c:pt>
                <c:pt idx="82">
                  <c:v>44.350000000000009</c:v>
                </c:pt>
                <c:pt idx="84">
                  <c:v>71.75</c:v>
                </c:pt>
                <c:pt idx="85">
                  <c:v>71.75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143.5</c:v>
                </c:pt>
              </c:numCache>
            </c:numRef>
          </c:xVal>
          <c:yVal>
            <c:numRef>
              <c:f>Panels!$G$9:$G$115</c:f>
              <c:numCache>
                <c:formatCode>0.0</c:formatCode>
                <c:ptCount val="107"/>
                <c:pt idx="0">
                  <c:v>91.5</c:v>
                </c:pt>
                <c:pt idx="1">
                  <c:v>1.9</c:v>
                </c:pt>
                <c:pt idx="2">
                  <c:v>1.9</c:v>
                </c:pt>
                <c:pt idx="3">
                  <c:v>91.5</c:v>
                </c:pt>
                <c:pt idx="4">
                  <c:v>91.5</c:v>
                </c:pt>
                <c:pt idx="6">
                  <c:v>91.5</c:v>
                </c:pt>
                <c:pt idx="7">
                  <c:v>1.9</c:v>
                </c:pt>
                <c:pt idx="8">
                  <c:v>1.9</c:v>
                </c:pt>
                <c:pt idx="9">
                  <c:v>91.5</c:v>
                </c:pt>
                <c:pt idx="10">
                  <c:v>91.5</c:v>
                </c:pt>
                <c:pt idx="12">
                  <c:v>1.9</c:v>
                </c:pt>
                <c:pt idx="13">
                  <c:v>10.700000000000001</c:v>
                </c:pt>
                <c:pt idx="14">
                  <c:v>10.700000000000001</c:v>
                </c:pt>
                <c:pt idx="15">
                  <c:v>1.9</c:v>
                </c:pt>
                <c:pt idx="16">
                  <c:v>1.9</c:v>
                </c:pt>
                <c:pt idx="18">
                  <c:v>91.5</c:v>
                </c:pt>
                <c:pt idx="19">
                  <c:v>91.5</c:v>
                </c:pt>
                <c:pt idx="20">
                  <c:v>0</c:v>
                </c:pt>
                <c:pt idx="21">
                  <c:v>0</c:v>
                </c:pt>
                <c:pt idx="22">
                  <c:v>91.5</c:v>
                </c:pt>
                <c:pt idx="24">
                  <c:v>0</c:v>
                </c:pt>
                <c:pt idx="25">
                  <c:v>0</c:v>
                </c:pt>
                <c:pt idx="26">
                  <c:v>1.9</c:v>
                </c:pt>
                <c:pt idx="27">
                  <c:v>1.9</c:v>
                </c:pt>
                <c:pt idx="28">
                  <c:v>0</c:v>
                </c:pt>
                <c:pt idx="30">
                  <c:v>91.5</c:v>
                </c:pt>
                <c:pt idx="31">
                  <c:v>91.5</c:v>
                </c:pt>
                <c:pt idx="32">
                  <c:v>89.6</c:v>
                </c:pt>
                <c:pt idx="33">
                  <c:v>89.6</c:v>
                </c:pt>
                <c:pt idx="34">
                  <c:v>91.5</c:v>
                </c:pt>
                <c:pt idx="36">
                  <c:v>91.5</c:v>
                </c:pt>
                <c:pt idx="37">
                  <c:v>91.5</c:v>
                </c:pt>
                <c:pt idx="38">
                  <c:v>89.6</c:v>
                </c:pt>
                <c:pt idx="39">
                  <c:v>89.6</c:v>
                </c:pt>
                <c:pt idx="40">
                  <c:v>91.5</c:v>
                </c:pt>
                <c:pt idx="42">
                  <c:v>10.700000000000001</c:v>
                </c:pt>
                <c:pt idx="43">
                  <c:v>12.600000000000001</c:v>
                </c:pt>
                <c:pt idx="44">
                  <c:v>12.600000000000001</c:v>
                </c:pt>
                <c:pt idx="45">
                  <c:v>10.700000000000001</c:v>
                </c:pt>
                <c:pt idx="46">
                  <c:v>10.700000000000001</c:v>
                </c:pt>
                <c:pt idx="48">
                  <c:v>1.9</c:v>
                </c:pt>
                <c:pt idx="49">
                  <c:v>80.8</c:v>
                </c:pt>
                <c:pt idx="50">
                  <c:v>80.8</c:v>
                </c:pt>
                <c:pt idx="51">
                  <c:v>1.9</c:v>
                </c:pt>
                <c:pt idx="52">
                  <c:v>1.9</c:v>
                </c:pt>
                <c:pt idx="54">
                  <c:v>1.9</c:v>
                </c:pt>
                <c:pt idx="55">
                  <c:v>80.8</c:v>
                </c:pt>
                <c:pt idx="56">
                  <c:v>80.8</c:v>
                </c:pt>
                <c:pt idx="57">
                  <c:v>1.9</c:v>
                </c:pt>
                <c:pt idx="58">
                  <c:v>1.9</c:v>
                </c:pt>
                <c:pt idx="60">
                  <c:v>91.5</c:v>
                </c:pt>
                <c:pt idx="61">
                  <c:v>16.715087714469703</c:v>
                </c:pt>
                <c:pt idx="62">
                  <c:v>16.863891954531258</c:v>
                </c:pt>
                <c:pt idx="63">
                  <c:v>91.648804240061551</c:v>
                </c:pt>
                <c:pt idx="64">
                  <c:v>91.5</c:v>
                </c:pt>
                <c:pt idx="66">
                  <c:v>91.5</c:v>
                </c:pt>
                <c:pt idx="67">
                  <c:v>16.715087714469703</c:v>
                </c:pt>
                <c:pt idx="68">
                  <c:v>16.863891954531258</c:v>
                </c:pt>
                <c:pt idx="69">
                  <c:v>91.648804240061551</c:v>
                </c:pt>
                <c:pt idx="70">
                  <c:v>91.5</c:v>
                </c:pt>
                <c:pt idx="72">
                  <c:v>12.600000000000001</c:v>
                </c:pt>
                <c:pt idx="73">
                  <c:v>89.6</c:v>
                </c:pt>
                <c:pt idx="74">
                  <c:v>89.6</c:v>
                </c:pt>
                <c:pt idx="75">
                  <c:v>12.600000000000001</c:v>
                </c:pt>
                <c:pt idx="76">
                  <c:v>12.600000000000001</c:v>
                </c:pt>
                <c:pt idx="78">
                  <c:v>12.600000000000001</c:v>
                </c:pt>
                <c:pt idx="79">
                  <c:v>89.6</c:v>
                </c:pt>
                <c:pt idx="80">
                  <c:v>89.6</c:v>
                </c:pt>
                <c:pt idx="81">
                  <c:v>12.600000000000001</c:v>
                </c:pt>
                <c:pt idx="82">
                  <c:v>12.600000000000001</c:v>
                </c:pt>
                <c:pt idx="84">
                  <c:v>12.600000000000001</c:v>
                </c:pt>
                <c:pt idx="85">
                  <c:v>91.5</c:v>
                </c:pt>
                <c:pt idx="87">
                  <c:v>0</c:v>
                </c:pt>
                <c:pt idx="88">
                  <c:v>143.5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98-4098-844B-BC7C53BD6992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Path!$F$16:$F$153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9">
                  <c:v>99.15</c:v>
                </c:pt>
                <c:pt idx="10">
                  <c:v>103.55000000000001</c:v>
                </c:pt>
                <c:pt idx="12">
                  <c:v>99.15</c:v>
                </c:pt>
                <c:pt idx="13">
                  <c:v>107.95</c:v>
                </c:pt>
                <c:pt idx="15">
                  <c:v>99.15</c:v>
                </c:pt>
                <c:pt idx="16">
                  <c:v>107.95</c:v>
                </c:pt>
                <c:pt idx="18">
                  <c:v>99.15</c:v>
                </c:pt>
                <c:pt idx="19">
                  <c:v>107.95</c:v>
                </c:pt>
                <c:pt idx="21">
                  <c:v>107.95</c:v>
                </c:pt>
                <c:pt idx="22">
                  <c:v>99.15</c:v>
                </c:pt>
                <c:pt idx="24">
                  <c:v>107.95</c:v>
                </c:pt>
                <c:pt idx="25">
                  <c:v>103.55000000000001</c:v>
                </c:pt>
                <c:pt idx="27">
                  <c:v>107.95</c:v>
                </c:pt>
                <c:pt idx="28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3">
                  <c:v>109.85000000000001</c:v>
                </c:pt>
                <c:pt idx="34">
                  <c:v>113.91427941111469</c:v>
                </c:pt>
                <c:pt idx="36">
                  <c:v>109.85000000000001</c:v>
                </c:pt>
                <c:pt idx="37">
                  <c:v>118.31090291366706</c:v>
                </c:pt>
                <c:pt idx="39">
                  <c:v>109.85000000000001</c:v>
                </c:pt>
                <c:pt idx="40">
                  <c:v>118.64324700510475</c:v>
                </c:pt>
                <c:pt idx="42">
                  <c:v>123.70480657336708</c:v>
                </c:pt>
                <c:pt idx="43">
                  <c:v>109.85000000000001</c:v>
                </c:pt>
                <c:pt idx="45">
                  <c:v>123.70480657336708</c:v>
                </c:pt>
                <c:pt idx="46">
                  <c:v>109.85000000000001</c:v>
                </c:pt>
                <c:pt idx="48">
                  <c:v>123.70480657336708</c:v>
                </c:pt>
                <c:pt idx="49">
                  <c:v>117.06792154878001</c:v>
                </c:pt>
                <c:pt idx="51">
                  <c:v>123.70480657336708</c:v>
                </c:pt>
                <c:pt idx="52">
                  <c:v>124.28584309756</c:v>
                </c:pt>
                <c:pt idx="54">
                  <c:v>125.59897058372619</c:v>
                </c:pt>
                <c:pt idx="55">
                  <c:v>126.18584309756</c:v>
                </c:pt>
                <c:pt idx="57">
                  <c:v>125.59897058372619</c:v>
                </c:pt>
                <c:pt idx="58">
                  <c:v>133.89292154878001</c:v>
                </c:pt>
                <c:pt idx="60">
                  <c:v>125.59897058372619</c:v>
                </c:pt>
                <c:pt idx="61">
                  <c:v>141.6</c:v>
                </c:pt>
                <c:pt idx="63">
                  <c:v>125.59897058372619</c:v>
                </c:pt>
                <c:pt idx="64">
                  <c:v>141.6</c:v>
                </c:pt>
                <c:pt idx="66">
                  <c:v>141.6</c:v>
                </c:pt>
                <c:pt idx="67">
                  <c:v>119.80276663796774</c:v>
                </c:pt>
                <c:pt idx="72">
                  <c:v>46.250000000000007</c:v>
                </c:pt>
                <c:pt idx="73">
                  <c:v>97.25</c:v>
                </c:pt>
                <c:pt idx="75">
                  <c:v>46.250000000000007</c:v>
                </c:pt>
                <c:pt idx="76">
                  <c:v>97.25</c:v>
                </c:pt>
              </c:numCache>
            </c:numRef>
          </c:xVal>
          <c:yVal>
            <c:numRef>
              <c:f>Path!$G$16:$G$153</c:f>
              <c:numCache>
                <c:formatCode>0.0</c:formatCode>
                <c:ptCount val="138"/>
                <c:pt idx="0">
                  <c:v>10.700000000000001</c:v>
                </c:pt>
                <c:pt idx="1">
                  <c:v>1.9</c:v>
                </c:pt>
                <c:pt idx="3">
                  <c:v>10.700000000000001</c:v>
                </c:pt>
                <c:pt idx="4">
                  <c:v>1.9</c:v>
                </c:pt>
                <c:pt idx="6">
                  <c:v>10.700000000000001</c:v>
                </c:pt>
                <c:pt idx="7">
                  <c:v>1.9</c:v>
                </c:pt>
                <c:pt idx="9">
                  <c:v>10.700000000000001</c:v>
                </c:pt>
                <c:pt idx="10">
                  <c:v>1.9</c:v>
                </c:pt>
                <c:pt idx="12">
                  <c:v>10.700000000000001</c:v>
                </c:pt>
                <c:pt idx="13">
                  <c:v>6.3000000000000007</c:v>
                </c:pt>
                <c:pt idx="15">
                  <c:v>10.700000000000001</c:v>
                </c:pt>
                <c:pt idx="16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1">
                  <c:v>80.8</c:v>
                </c:pt>
                <c:pt idx="22">
                  <c:v>85.199999999999989</c:v>
                </c:pt>
                <c:pt idx="24">
                  <c:v>80.8</c:v>
                </c:pt>
                <c:pt idx="25">
                  <c:v>89.6</c:v>
                </c:pt>
                <c:pt idx="27">
                  <c:v>80.8</c:v>
                </c:pt>
                <c:pt idx="28">
                  <c:v>89.6</c:v>
                </c:pt>
                <c:pt idx="30">
                  <c:v>80.8</c:v>
                </c:pt>
                <c:pt idx="31">
                  <c:v>89.6</c:v>
                </c:pt>
                <c:pt idx="33">
                  <c:v>80.8</c:v>
                </c:pt>
                <c:pt idx="34">
                  <c:v>89.6</c:v>
                </c:pt>
                <c:pt idx="36">
                  <c:v>80.8</c:v>
                </c:pt>
                <c:pt idx="37">
                  <c:v>85.199999999999989</c:v>
                </c:pt>
                <c:pt idx="39">
                  <c:v>80.8</c:v>
                </c:pt>
                <c:pt idx="40">
                  <c:v>81.144864490490136</c:v>
                </c:pt>
                <c:pt idx="42">
                  <c:v>16.715087714469703</c:v>
                </c:pt>
                <c:pt idx="43">
                  <c:v>16.17171268963661</c:v>
                </c:pt>
                <c:pt idx="45">
                  <c:v>16.715087714469703</c:v>
                </c:pt>
                <c:pt idx="46">
                  <c:v>9.0358563448183045</c:v>
                </c:pt>
                <c:pt idx="48">
                  <c:v>16.715087714469703</c:v>
                </c:pt>
                <c:pt idx="49">
                  <c:v>1.9</c:v>
                </c:pt>
                <c:pt idx="51">
                  <c:v>16.715087714469703</c:v>
                </c:pt>
                <c:pt idx="52">
                  <c:v>1.9</c:v>
                </c:pt>
                <c:pt idx="54">
                  <c:v>16.863891954531258</c:v>
                </c:pt>
                <c:pt idx="55">
                  <c:v>1.9</c:v>
                </c:pt>
                <c:pt idx="57">
                  <c:v>16.863891954531258</c:v>
                </c:pt>
                <c:pt idx="58">
                  <c:v>1.9</c:v>
                </c:pt>
                <c:pt idx="60">
                  <c:v>16.863891954531258</c:v>
                </c:pt>
                <c:pt idx="61">
                  <c:v>9.6957201072176211</c:v>
                </c:pt>
                <c:pt idx="63">
                  <c:v>16.863891954531258</c:v>
                </c:pt>
                <c:pt idx="64">
                  <c:v>17.491440214435244</c:v>
                </c:pt>
                <c:pt idx="66">
                  <c:v>91.5</c:v>
                </c:pt>
                <c:pt idx="67">
                  <c:v>90.645129009440325</c:v>
                </c:pt>
                <c:pt idx="72">
                  <c:v>12.600000000000001</c:v>
                </c:pt>
                <c:pt idx="73">
                  <c:v>12.600000000000001</c:v>
                </c:pt>
                <c:pt idx="75">
                  <c:v>91.5</c:v>
                </c:pt>
                <c:pt idx="76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98-4098-844B-BC7C53BD6992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Panels!$F$134:$F$149</c:f>
              <c:numCache>
                <c:formatCode>0.0</c:formatCode>
                <c:ptCount val="16"/>
                <c:pt idx="0">
                  <c:v>94.75</c:v>
                </c:pt>
                <c:pt idx="1">
                  <c:v>71.75</c:v>
                </c:pt>
                <c:pt idx="2">
                  <c:v>71.75</c:v>
                </c:pt>
                <c:pt idx="3">
                  <c:v>79.25</c:v>
                </c:pt>
                <c:pt idx="4">
                  <c:v>79.25</c:v>
                </c:pt>
                <c:pt idx="5">
                  <c:v>92.85</c:v>
                </c:pt>
                <c:pt idx="7">
                  <c:v>48.75</c:v>
                </c:pt>
                <c:pt idx="8">
                  <c:v>71.75</c:v>
                </c:pt>
                <c:pt idx="9">
                  <c:v>71.75</c:v>
                </c:pt>
                <c:pt idx="10">
                  <c:v>64.25</c:v>
                </c:pt>
                <c:pt idx="11">
                  <c:v>64.25</c:v>
                </c:pt>
                <c:pt idx="12">
                  <c:v>50.65</c:v>
                </c:pt>
                <c:pt idx="14">
                  <c:v>64.25</c:v>
                </c:pt>
                <c:pt idx="15">
                  <c:v>79.25</c:v>
                </c:pt>
              </c:numCache>
            </c:numRef>
          </c:xVal>
          <c:yVal>
            <c:numRef>
              <c:f>Panels!$G$134:$G$149</c:f>
              <c:numCache>
                <c:formatCode>0.0</c:formatCode>
                <c:ptCount val="16"/>
                <c:pt idx="0">
                  <c:v>12.600000000000001</c:v>
                </c:pt>
                <c:pt idx="1">
                  <c:v>12.600000000000001</c:v>
                </c:pt>
                <c:pt idx="2">
                  <c:v>37.400000000000006</c:v>
                </c:pt>
                <c:pt idx="3">
                  <c:v>37.400000000000006</c:v>
                </c:pt>
                <c:pt idx="4">
                  <c:v>27.400000000000006</c:v>
                </c:pt>
                <c:pt idx="5">
                  <c:v>12.600000000000001</c:v>
                </c:pt>
                <c:pt idx="7">
                  <c:v>12.600000000000001</c:v>
                </c:pt>
                <c:pt idx="8">
                  <c:v>12.600000000000001</c:v>
                </c:pt>
                <c:pt idx="9">
                  <c:v>37.400000000000006</c:v>
                </c:pt>
                <c:pt idx="10">
                  <c:v>37.400000000000006</c:v>
                </c:pt>
                <c:pt idx="11">
                  <c:v>27.400000000000006</c:v>
                </c:pt>
                <c:pt idx="12">
                  <c:v>12.600000000000001</c:v>
                </c:pt>
                <c:pt idx="14">
                  <c:v>27.400000000000006</c:v>
                </c:pt>
                <c:pt idx="15">
                  <c:v>27.400000000000006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98-4098-844B-BC7C53BD6992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Path!$J$16:$J$153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2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5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8">
                  <c:v>99.15</c:v>
                </c:pt>
                <c:pt idx="9">
                  <c:v>101.35000000000001</c:v>
                </c:pt>
                <c:pt idx="10">
                  <c:v>101.35000000000001</c:v>
                </c:pt>
                <c:pt idx="11">
                  <c:v>101.35000000000001</c:v>
                </c:pt>
                <c:pt idx="12">
                  <c:v>103.55000000000001</c:v>
                </c:pt>
                <c:pt idx="13">
                  <c:v>103.55000000000001</c:v>
                </c:pt>
                <c:pt idx="14">
                  <c:v>103.55000000000001</c:v>
                </c:pt>
                <c:pt idx="15">
                  <c:v>103.55000000000001</c:v>
                </c:pt>
                <c:pt idx="16">
                  <c:v>103.55000000000001</c:v>
                </c:pt>
                <c:pt idx="17">
                  <c:v>103.55000000000001</c:v>
                </c:pt>
                <c:pt idx="18">
                  <c:v>103.55000000000001</c:v>
                </c:pt>
                <c:pt idx="19">
                  <c:v>103.55000000000001</c:v>
                </c:pt>
                <c:pt idx="20">
                  <c:v>103.55000000000001</c:v>
                </c:pt>
                <c:pt idx="21">
                  <c:v>103.55000000000001</c:v>
                </c:pt>
                <c:pt idx="22">
                  <c:v>103.55000000000001</c:v>
                </c:pt>
                <c:pt idx="23">
                  <c:v>103.55000000000001</c:v>
                </c:pt>
                <c:pt idx="24">
                  <c:v>105.75</c:v>
                </c:pt>
                <c:pt idx="25">
                  <c:v>105.75</c:v>
                </c:pt>
                <c:pt idx="26">
                  <c:v>105.75</c:v>
                </c:pt>
                <c:pt idx="27">
                  <c:v>107.95</c:v>
                </c:pt>
                <c:pt idx="28">
                  <c:v>107.95</c:v>
                </c:pt>
                <c:pt idx="29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2">
                  <c:v>109.85000000000001</c:v>
                </c:pt>
                <c:pt idx="33">
                  <c:v>111.88213970555735</c:v>
                </c:pt>
                <c:pt idx="34">
                  <c:v>111.88213970555735</c:v>
                </c:pt>
                <c:pt idx="35">
                  <c:v>111.88213970555735</c:v>
                </c:pt>
                <c:pt idx="36">
                  <c:v>114.08045145683354</c:v>
                </c:pt>
                <c:pt idx="37">
                  <c:v>114.08045145683354</c:v>
                </c:pt>
                <c:pt idx="38">
                  <c:v>114.08045145683354</c:v>
                </c:pt>
                <c:pt idx="39">
                  <c:v>114.24662350255238</c:v>
                </c:pt>
                <c:pt idx="40">
                  <c:v>114.24662350255238</c:v>
                </c:pt>
                <c:pt idx="41">
                  <c:v>114.24662350255238</c:v>
                </c:pt>
                <c:pt idx="42">
                  <c:v>116.77740328668355</c:v>
                </c:pt>
                <c:pt idx="43">
                  <c:v>116.77740328668355</c:v>
                </c:pt>
                <c:pt idx="44">
                  <c:v>116.77740328668355</c:v>
                </c:pt>
                <c:pt idx="45">
                  <c:v>116.77740328668355</c:v>
                </c:pt>
                <c:pt idx="46">
                  <c:v>116.77740328668355</c:v>
                </c:pt>
                <c:pt idx="47">
                  <c:v>116.77740328668355</c:v>
                </c:pt>
                <c:pt idx="48">
                  <c:v>120.38636406107355</c:v>
                </c:pt>
                <c:pt idx="49">
                  <c:v>120.38636406107355</c:v>
                </c:pt>
                <c:pt idx="50">
                  <c:v>120.38636406107355</c:v>
                </c:pt>
                <c:pt idx="51">
                  <c:v>123.99532483546355</c:v>
                </c:pt>
                <c:pt idx="52">
                  <c:v>123.99532483546355</c:v>
                </c:pt>
                <c:pt idx="53">
                  <c:v>123.99532483546355</c:v>
                </c:pt>
                <c:pt idx="54">
                  <c:v>125.89240684064309</c:v>
                </c:pt>
                <c:pt idx="55">
                  <c:v>125.89240684064309</c:v>
                </c:pt>
                <c:pt idx="56">
                  <c:v>125.89240684064309</c:v>
                </c:pt>
                <c:pt idx="57">
                  <c:v>129.74594606625311</c:v>
                </c:pt>
                <c:pt idx="58">
                  <c:v>129.74594606625311</c:v>
                </c:pt>
                <c:pt idx="59">
                  <c:v>129.74594606625311</c:v>
                </c:pt>
                <c:pt idx="60">
                  <c:v>133.59948529186309</c:v>
                </c:pt>
                <c:pt idx="61">
                  <c:v>133.59948529186309</c:v>
                </c:pt>
                <c:pt idx="62">
                  <c:v>133.59948529186309</c:v>
                </c:pt>
                <c:pt idx="63">
                  <c:v>133.59948529186309</c:v>
                </c:pt>
                <c:pt idx="64">
                  <c:v>133.59948529186309</c:v>
                </c:pt>
                <c:pt idx="65">
                  <c:v>133.59948529186309</c:v>
                </c:pt>
                <c:pt idx="66">
                  <c:v>130.70138331898386</c:v>
                </c:pt>
                <c:pt idx="67">
                  <c:v>130.70138331898386</c:v>
                </c:pt>
                <c:pt idx="68">
                  <c:v>130.70138331898386</c:v>
                </c:pt>
                <c:pt idx="72">
                  <c:v>71.75</c:v>
                </c:pt>
                <c:pt idx="73">
                  <c:v>71.75</c:v>
                </c:pt>
                <c:pt idx="74">
                  <c:v>71.75</c:v>
                </c:pt>
                <c:pt idx="75">
                  <c:v>71.75</c:v>
                </c:pt>
                <c:pt idx="76">
                  <c:v>71.75</c:v>
                </c:pt>
                <c:pt idx="77">
                  <c:v>71.75</c:v>
                </c:pt>
              </c:numCache>
            </c:numRef>
          </c:xVal>
          <c:yVal>
            <c:numRef>
              <c:f>Path!$K$16:$K$153</c:f>
              <c:numCache>
                <c:formatCode>0.0</c:formatCode>
                <c:ptCount val="138"/>
                <c:pt idx="0">
                  <c:v>6.3000000000000007</c:v>
                </c:pt>
                <c:pt idx="1">
                  <c:v>6.3000000000000007</c:v>
                </c:pt>
                <c:pt idx="2">
                  <c:v>6.3000000000000007</c:v>
                </c:pt>
                <c:pt idx="3">
                  <c:v>6.3000000000000007</c:v>
                </c:pt>
                <c:pt idx="4">
                  <c:v>6.3000000000000007</c:v>
                </c:pt>
                <c:pt idx="5">
                  <c:v>6.3000000000000007</c:v>
                </c:pt>
                <c:pt idx="6">
                  <c:v>6.3000000000000007</c:v>
                </c:pt>
                <c:pt idx="7">
                  <c:v>6.3000000000000007</c:v>
                </c:pt>
                <c:pt idx="8">
                  <c:v>6.3000000000000007</c:v>
                </c:pt>
                <c:pt idx="9">
                  <c:v>6.3000000000000007</c:v>
                </c:pt>
                <c:pt idx="10">
                  <c:v>6.3000000000000007</c:v>
                </c:pt>
                <c:pt idx="11">
                  <c:v>6.3000000000000007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10.700000000000001</c:v>
                </c:pt>
                <c:pt idx="16">
                  <c:v>10.700000000000001</c:v>
                </c:pt>
                <c:pt idx="17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0">
                  <c:v>80.8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85.199999999999989</c:v>
                </c:pt>
                <c:pt idx="25">
                  <c:v>85.199999999999989</c:v>
                </c:pt>
                <c:pt idx="26">
                  <c:v>85.199999999999989</c:v>
                </c:pt>
                <c:pt idx="27">
                  <c:v>85.199999999999989</c:v>
                </c:pt>
                <c:pt idx="28">
                  <c:v>85.199999999999989</c:v>
                </c:pt>
                <c:pt idx="29">
                  <c:v>85.199999999999989</c:v>
                </c:pt>
                <c:pt idx="30">
                  <c:v>85.199999999999989</c:v>
                </c:pt>
                <c:pt idx="31">
                  <c:v>85.199999999999989</c:v>
                </c:pt>
                <c:pt idx="32">
                  <c:v>85.199999999999989</c:v>
                </c:pt>
                <c:pt idx="33">
                  <c:v>85.199999999999989</c:v>
                </c:pt>
                <c:pt idx="34">
                  <c:v>85.199999999999989</c:v>
                </c:pt>
                <c:pt idx="35">
                  <c:v>85.199999999999989</c:v>
                </c:pt>
                <c:pt idx="36">
                  <c:v>83</c:v>
                </c:pt>
                <c:pt idx="37">
                  <c:v>83</c:v>
                </c:pt>
                <c:pt idx="38">
                  <c:v>83</c:v>
                </c:pt>
                <c:pt idx="39">
                  <c:v>80.972432245245074</c:v>
                </c:pt>
                <c:pt idx="40">
                  <c:v>80.972432245245074</c:v>
                </c:pt>
                <c:pt idx="41">
                  <c:v>80.972432245245074</c:v>
                </c:pt>
                <c:pt idx="42">
                  <c:v>16.443400202053155</c:v>
                </c:pt>
                <c:pt idx="43">
                  <c:v>16.443400202053155</c:v>
                </c:pt>
                <c:pt idx="44">
                  <c:v>16.443400202053155</c:v>
                </c:pt>
                <c:pt idx="45">
                  <c:v>12.875472029644005</c:v>
                </c:pt>
                <c:pt idx="46">
                  <c:v>12.875472029644005</c:v>
                </c:pt>
                <c:pt idx="47">
                  <c:v>12.875472029644005</c:v>
                </c:pt>
                <c:pt idx="48">
                  <c:v>9.307543857234851</c:v>
                </c:pt>
                <c:pt idx="49">
                  <c:v>9.307543857234851</c:v>
                </c:pt>
                <c:pt idx="50">
                  <c:v>9.307543857234851</c:v>
                </c:pt>
                <c:pt idx="51">
                  <c:v>9.307543857234851</c:v>
                </c:pt>
                <c:pt idx="52">
                  <c:v>9.307543857234851</c:v>
                </c:pt>
                <c:pt idx="53">
                  <c:v>9.307543857234851</c:v>
                </c:pt>
                <c:pt idx="54">
                  <c:v>9.3819459772656284</c:v>
                </c:pt>
                <c:pt idx="55">
                  <c:v>9.3819459772656284</c:v>
                </c:pt>
                <c:pt idx="56">
                  <c:v>9.3819459772656284</c:v>
                </c:pt>
                <c:pt idx="57">
                  <c:v>9.3819459772656284</c:v>
                </c:pt>
                <c:pt idx="58">
                  <c:v>9.3819459772656284</c:v>
                </c:pt>
                <c:pt idx="59">
                  <c:v>9.3819459772656284</c:v>
                </c:pt>
                <c:pt idx="60">
                  <c:v>13.27980603087444</c:v>
                </c:pt>
                <c:pt idx="61">
                  <c:v>13.27980603087444</c:v>
                </c:pt>
                <c:pt idx="62">
                  <c:v>13.27980603087444</c:v>
                </c:pt>
                <c:pt idx="63">
                  <c:v>17.177666084483249</c:v>
                </c:pt>
                <c:pt idx="64">
                  <c:v>17.177666084483249</c:v>
                </c:pt>
                <c:pt idx="65">
                  <c:v>17.177666084483249</c:v>
                </c:pt>
                <c:pt idx="66">
                  <c:v>91.072564504720162</c:v>
                </c:pt>
                <c:pt idx="67">
                  <c:v>91.072564504720162</c:v>
                </c:pt>
                <c:pt idx="68">
                  <c:v>91.072564504720162</c:v>
                </c:pt>
                <c:pt idx="72">
                  <c:v>12.600000000000001</c:v>
                </c:pt>
                <c:pt idx="73">
                  <c:v>12.600000000000001</c:v>
                </c:pt>
                <c:pt idx="74">
                  <c:v>12.600000000000001</c:v>
                </c:pt>
                <c:pt idx="75">
                  <c:v>91.5</c:v>
                </c:pt>
                <c:pt idx="76">
                  <c:v>91.5</c:v>
                </c:pt>
                <c:pt idx="77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898-4098-844B-BC7C53BD6992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Panels!$F$96:$F$100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143.5</c:v>
                </c:pt>
              </c:numCache>
            </c:numRef>
          </c:xVal>
          <c:yVal>
            <c:numRef>
              <c:f>Panels!$G$96:$G$100</c:f>
              <c:numCache>
                <c:formatCode>0.0</c:formatCode>
                <c:ptCount val="5"/>
                <c:pt idx="0">
                  <c:v>0</c:v>
                </c:pt>
                <c:pt idx="1">
                  <c:v>143.5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898-4098-844B-BC7C53BD6992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Panels!$F$93:$F$94</c:f>
              <c:numCache>
                <c:formatCode>0.0</c:formatCode>
                <c:ptCount val="2"/>
                <c:pt idx="0">
                  <c:v>71.75</c:v>
                </c:pt>
                <c:pt idx="1">
                  <c:v>71.75</c:v>
                </c:pt>
              </c:numCache>
            </c:numRef>
          </c:xVal>
          <c:yVal>
            <c:numRef>
              <c:f>Panels!$G$93:$G$94</c:f>
              <c:numCache>
                <c:formatCode>0.0</c:formatCode>
                <c:ptCount val="2"/>
                <c:pt idx="0">
                  <c:v>12.600000000000001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898-4098-844B-BC7C53BD6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Panels!$F$9:$F$115</c:f>
              <c:numCache>
                <c:formatCode>0.0</c:formatCode>
                <c:ptCount val="107"/>
                <c:pt idx="0">
                  <c:v>141.6</c:v>
                </c:pt>
                <c:pt idx="1">
                  <c:v>141.6</c:v>
                </c:pt>
                <c:pt idx="2">
                  <c:v>143.5</c:v>
                </c:pt>
                <c:pt idx="3">
                  <c:v>143.5</c:v>
                </c:pt>
                <c:pt idx="4">
                  <c:v>141.6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72.7</c:v>
                </c:pt>
                <c:pt idx="13">
                  <c:v>72.7</c:v>
                </c:pt>
                <c:pt idx="14">
                  <c:v>70.8</c:v>
                </c:pt>
                <c:pt idx="15">
                  <c:v>70.8</c:v>
                </c:pt>
                <c:pt idx="16">
                  <c:v>72.7</c:v>
                </c:pt>
                <c:pt idx="18">
                  <c:v>143.5</c:v>
                </c:pt>
                <c:pt idx="19">
                  <c:v>0</c:v>
                </c:pt>
                <c:pt idx="20">
                  <c:v>0</c:v>
                </c:pt>
                <c:pt idx="21">
                  <c:v>143.5</c:v>
                </c:pt>
                <c:pt idx="22">
                  <c:v>143.5</c:v>
                </c:pt>
                <c:pt idx="24">
                  <c:v>0</c:v>
                </c:pt>
                <c:pt idx="25">
                  <c:v>143.5</c:v>
                </c:pt>
                <c:pt idx="26">
                  <c:v>143.5</c:v>
                </c:pt>
                <c:pt idx="27">
                  <c:v>0</c:v>
                </c:pt>
                <c:pt idx="28">
                  <c:v>0</c:v>
                </c:pt>
                <c:pt idx="30">
                  <c:v>97.25</c:v>
                </c:pt>
                <c:pt idx="31">
                  <c:v>117.82975458216781</c:v>
                </c:pt>
                <c:pt idx="32">
                  <c:v>117.82975458216781</c:v>
                </c:pt>
                <c:pt idx="33">
                  <c:v>97.25</c:v>
                </c:pt>
                <c:pt idx="34">
                  <c:v>97.25</c:v>
                </c:pt>
                <c:pt idx="36">
                  <c:v>46.250000000000007</c:v>
                </c:pt>
                <c:pt idx="37">
                  <c:v>25.670245417832195</c:v>
                </c:pt>
                <c:pt idx="38">
                  <c:v>25.670245417832195</c:v>
                </c:pt>
                <c:pt idx="39">
                  <c:v>46.250000000000007</c:v>
                </c:pt>
                <c:pt idx="40">
                  <c:v>46.250000000000007</c:v>
                </c:pt>
                <c:pt idx="42">
                  <c:v>99.15</c:v>
                </c:pt>
                <c:pt idx="43">
                  <c:v>99.15</c:v>
                </c:pt>
                <c:pt idx="44">
                  <c:v>44.350000000000009</c:v>
                </c:pt>
                <c:pt idx="45">
                  <c:v>44.350000000000009</c:v>
                </c:pt>
                <c:pt idx="46">
                  <c:v>99.15</c:v>
                </c:pt>
                <c:pt idx="48">
                  <c:v>109.85000000000001</c:v>
                </c:pt>
                <c:pt idx="49">
                  <c:v>109.85000000000001</c:v>
                </c:pt>
                <c:pt idx="50">
                  <c:v>107.95</c:v>
                </c:pt>
                <c:pt idx="51">
                  <c:v>107.95</c:v>
                </c:pt>
                <c:pt idx="52">
                  <c:v>109.85000000000001</c:v>
                </c:pt>
                <c:pt idx="54">
                  <c:v>33.65</c:v>
                </c:pt>
                <c:pt idx="55">
                  <c:v>33.65</c:v>
                </c:pt>
                <c:pt idx="56">
                  <c:v>35.549999999999997</c:v>
                </c:pt>
                <c:pt idx="57">
                  <c:v>35.549999999999997</c:v>
                </c:pt>
                <c:pt idx="58">
                  <c:v>33.65</c:v>
                </c:pt>
                <c:pt idx="60">
                  <c:v>25.670245417832195</c:v>
                </c:pt>
                <c:pt idx="61">
                  <c:v>19.795193426632931</c:v>
                </c:pt>
                <c:pt idx="62">
                  <c:v>17.901029416273822</c:v>
                </c:pt>
                <c:pt idx="63">
                  <c:v>23.776081407473086</c:v>
                </c:pt>
                <c:pt idx="64">
                  <c:v>25.670245417832195</c:v>
                </c:pt>
                <c:pt idx="66">
                  <c:v>117.82975458216781</c:v>
                </c:pt>
                <c:pt idx="67">
                  <c:v>123.70480657336708</c:v>
                </c:pt>
                <c:pt idx="68">
                  <c:v>125.59897058372619</c:v>
                </c:pt>
                <c:pt idx="69">
                  <c:v>119.72391859252691</c:v>
                </c:pt>
                <c:pt idx="70">
                  <c:v>117.82975458216781</c:v>
                </c:pt>
                <c:pt idx="72">
                  <c:v>99.15</c:v>
                </c:pt>
                <c:pt idx="73">
                  <c:v>99.15</c:v>
                </c:pt>
                <c:pt idx="74">
                  <c:v>97.25</c:v>
                </c:pt>
                <c:pt idx="75">
                  <c:v>97.25</c:v>
                </c:pt>
                <c:pt idx="76">
                  <c:v>99.15</c:v>
                </c:pt>
                <c:pt idx="78">
                  <c:v>44.350000000000009</c:v>
                </c:pt>
                <c:pt idx="79">
                  <c:v>44.350000000000009</c:v>
                </c:pt>
                <c:pt idx="80">
                  <c:v>46.250000000000007</c:v>
                </c:pt>
                <c:pt idx="81">
                  <c:v>46.250000000000007</c:v>
                </c:pt>
                <c:pt idx="82">
                  <c:v>44.350000000000009</c:v>
                </c:pt>
                <c:pt idx="84">
                  <c:v>71.75</c:v>
                </c:pt>
                <c:pt idx="85">
                  <c:v>71.75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143.5</c:v>
                </c:pt>
              </c:numCache>
            </c:numRef>
          </c:xVal>
          <c:yVal>
            <c:numRef>
              <c:f>Panels!$G$9:$G$115</c:f>
              <c:numCache>
                <c:formatCode>0.0</c:formatCode>
                <c:ptCount val="107"/>
                <c:pt idx="0">
                  <c:v>91.5</c:v>
                </c:pt>
                <c:pt idx="1">
                  <c:v>1.9</c:v>
                </c:pt>
                <c:pt idx="2">
                  <c:v>1.9</c:v>
                </c:pt>
                <c:pt idx="3">
                  <c:v>91.5</c:v>
                </c:pt>
                <c:pt idx="4">
                  <c:v>91.5</c:v>
                </c:pt>
                <c:pt idx="6">
                  <c:v>91.5</c:v>
                </c:pt>
                <c:pt idx="7">
                  <c:v>1.9</c:v>
                </c:pt>
                <c:pt idx="8">
                  <c:v>1.9</c:v>
                </c:pt>
                <c:pt idx="9">
                  <c:v>91.5</c:v>
                </c:pt>
                <c:pt idx="10">
                  <c:v>91.5</c:v>
                </c:pt>
                <c:pt idx="12">
                  <c:v>1.9</c:v>
                </c:pt>
                <c:pt idx="13">
                  <c:v>10.700000000000001</c:v>
                </c:pt>
                <c:pt idx="14">
                  <c:v>10.700000000000001</c:v>
                </c:pt>
                <c:pt idx="15">
                  <c:v>1.9</c:v>
                </c:pt>
                <c:pt idx="16">
                  <c:v>1.9</c:v>
                </c:pt>
                <c:pt idx="18">
                  <c:v>91.5</c:v>
                </c:pt>
                <c:pt idx="19">
                  <c:v>91.5</c:v>
                </c:pt>
                <c:pt idx="20">
                  <c:v>0</c:v>
                </c:pt>
                <c:pt idx="21">
                  <c:v>0</c:v>
                </c:pt>
                <c:pt idx="22">
                  <c:v>91.5</c:v>
                </c:pt>
                <c:pt idx="24">
                  <c:v>0</c:v>
                </c:pt>
                <c:pt idx="25">
                  <c:v>0</c:v>
                </c:pt>
                <c:pt idx="26">
                  <c:v>1.9</c:v>
                </c:pt>
                <c:pt idx="27">
                  <c:v>1.9</c:v>
                </c:pt>
                <c:pt idx="28">
                  <c:v>0</c:v>
                </c:pt>
                <c:pt idx="30">
                  <c:v>91.5</c:v>
                </c:pt>
                <c:pt idx="31">
                  <c:v>91.5</c:v>
                </c:pt>
                <c:pt idx="32">
                  <c:v>89.6</c:v>
                </c:pt>
                <c:pt idx="33">
                  <c:v>89.6</c:v>
                </c:pt>
                <c:pt idx="34">
                  <c:v>91.5</c:v>
                </c:pt>
                <c:pt idx="36">
                  <c:v>91.5</c:v>
                </c:pt>
                <c:pt idx="37">
                  <c:v>91.5</c:v>
                </c:pt>
                <c:pt idx="38">
                  <c:v>89.6</c:v>
                </c:pt>
                <c:pt idx="39">
                  <c:v>89.6</c:v>
                </c:pt>
                <c:pt idx="40">
                  <c:v>91.5</c:v>
                </c:pt>
                <c:pt idx="42">
                  <c:v>10.700000000000001</c:v>
                </c:pt>
                <c:pt idx="43">
                  <c:v>12.600000000000001</c:v>
                </c:pt>
                <c:pt idx="44">
                  <c:v>12.600000000000001</c:v>
                </c:pt>
                <c:pt idx="45">
                  <c:v>10.700000000000001</c:v>
                </c:pt>
                <c:pt idx="46">
                  <c:v>10.700000000000001</c:v>
                </c:pt>
                <c:pt idx="48">
                  <c:v>1.9</c:v>
                </c:pt>
                <c:pt idx="49">
                  <c:v>80.8</c:v>
                </c:pt>
                <c:pt idx="50">
                  <c:v>80.8</c:v>
                </c:pt>
                <c:pt idx="51">
                  <c:v>1.9</c:v>
                </c:pt>
                <c:pt idx="52">
                  <c:v>1.9</c:v>
                </c:pt>
                <c:pt idx="54">
                  <c:v>1.9</c:v>
                </c:pt>
                <c:pt idx="55">
                  <c:v>80.8</c:v>
                </c:pt>
                <c:pt idx="56">
                  <c:v>80.8</c:v>
                </c:pt>
                <c:pt idx="57">
                  <c:v>1.9</c:v>
                </c:pt>
                <c:pt idx="58">
                  <c:v>1.9</c:v>
                </c:pt>
                <c:pt idx="60">
                  <c:v>91.5</c:v>
                </c:pt>
                <c:pt idx="61">
                  <c:v>16.715087714469703</c:v>
                </c:pt>
                <c:pt idx="62">
                  <c:v>16.863891954531258</c:v>
                </c:pt>
                <c:pt idx="63">
                  <c:v>91.648804240061551</c:v>
                </c:pt>
                <c:pt idx="64">
                  <c:v>91.5</c:v>
                </c:pt>
                <c:pt idx="66">
                  <c:v>91.5</c:v>
                </c:pt>
                <c:pt idx="67">
                  <c:v>16.715087714469703</c:v>
                </c:pt>
                <c:pt idx="68">
                  <c:v>16.863891954531258</c:v>
                </c:pt>
                <c:pt idx="69">
                  <c:v>91.648804240061551</c:v>
                </c:pt>
                <c:pt idx="70">
                  <c:v>91.5</c:v>
                </c:pt>
                <c:pt idx="72">
                  <c:v>12.600000000000001</c:v>
                </c:pt>
                <c:pt idx="73">
                  <c:v>89.6</c:v>
                </c:pt>
                <c:pt idx="74">
                  <c:v>89.6</c:v>
                </c:pt>
                <c:pt idx="75">
                  <c:v>12.600000000000001</c:v>
                </c:pt>
                <c:pt idx="76">
                  <c:v>12.600000000000001</c:v>
                </c:pt>
                <c:pt idx="78">
                  <c:v>12.600000000000001</c:v>
                </c:pt>
                <c:pt idx="79">
                  <c:v>89.6</c:v>
                </c:pt>
                <c:pt idx="80">
                  <c:v>89.6</c:v>
                </c:pt>
                <c:pt idx="81">
                  <c:v>12.600000000000001</c:v>
                </c:pt>
                <c:pt idx="82">
                  <c:v>12.600000000000001</c:v>
                </c:pt>
                <c:pt idx="84">
                  <c:v>12.600000000000001</c:v>
                </c:pt>
                <c:pt idx="85">
                  <c:v>91.5</c:v>
                </c:pt>
                <c:pt idx="87">
                  <c:v>0</c:v>
                </c:pt>
                <c:pt idx="88">
                  <c:v>143.5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13-4160-9903-5E3AD1D687C5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Path!$F$16:$F$153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9">
                  <c:v>99.15</c:v>
                </c:pt>
                <c:pt idx="10">
                  <c:v>103.55000000000001</c:v>
                </c:pt>
                <c:pt idx="12">
                  <c:v>99.15</c:v>
                </c:pt>
                <c:pt idx="13">
                  <c:v>107.95</c:v>
                </c:pt>
                <c:pt idx="15">
                  <c:v>99.15</c:v>
                </c:pt>
                <c:pt idx="16">
                  <c:v>107.95</c:v>
                </c:pt>
                <c:pt idx="18">
                  <c:v>99.15</c:v>
                </c:pt>
                <c:pt idx="19">
                  <c:v>107.95</c:v>
                </c:pt>
                <c:pt idx="21">
                  <c:v>107.95</c:v>
                </c:pt>
                <c:pt idx="22">
                  <c:v>99.15</c:v>
                </c:pt>
                <c:pt idx="24">
                  <c:v>107.95</c:v>
                </c:pt>
                <c:pt idx="25">
                  <c:v>103.55000000000001</c:v>
                </c:pt>
                <c:pt idx="27">
                  <c:v>107.95</c:v>
                </c:pt>
                <c:pt idx="28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3">
                  <c:v>109.85000000000001</c:v>
                </c:pt>
                <c:pt idx="34">
                  <c:v>113.91427941111469</c:v>
                </c:pt>
                <c:pt idx="36">
                  <c:v>109.85000000000001</c:v>
                </c:pt>
                <c:pt idx="37">
                  <c:v>118.31090291366706</c:v>
                </c:pt>
                <c:pt idx="39">
                  <c:v>109.85000000000001</c:v>
                </c:pt>
                <c:pt idx="40">
                  <c:v>118.64324700510475</c:v>
                </c:pt>
                <c:pt idx="42">
                  <c:v>123.70480657336708</c:v>
                </c:pt>
                <c:pt idx="43">
                  <c:v>109.85000000000001</c:v>
                </c:pt>
                <c:pt idx="45">
                  <c:v>123.70480657336708</c:v>
                </c:pt>
                <c:pt idx="46">
                  <c:v>109.85000000000001</c:v>
                </c:pt>
                <c:pt idx="48">
                  <c:v>123.70480657336708</c:v>
                </c:pt>
                <c:pt idx="49">
                  <c:v>117.06792154878001</c:v>
                </c:pt>
                <c:pt idx="51">
                  <c:v>123.70480657336708</c:v>
                </c:pt>
                <c:pt idx="52">
                  <c:v>124.28584309756</c:v>
                </c:pt>
                <c:pt idx="54">
                  <c:v>125.59897058372619</c:v>
                </c:pt>
                <c:pt idx="55">
                  <c:v>126.18584309756</c:v>
                </c:pt>
                <c:pt idx="57">
                  <c:v>125.59897058372619</c:v>
                </c:pt>
                <c:pt idx="58">
                  <c:v>133.89292154878001</c:v>
                </c:pt>
                <c:pt idx="60">
                  <c:v>125.59897058372619</c:v>
                </c:pt>
                <c:pt idx="61">
                  <c:v>141.6</c:v>
                </c:pt>
                <c:pt idx="63">
                  <c:v>125.59897058372619</c:v>
                </c:pt>
                <c:pt idx="64">
                  <c:v>141.6</c:v>
                </c:pt>
                <c:pt idx="66">
                  <c:v>141.6</c:v>
                </c:pt>
                <c:pt idx="67">
                  <c:v>119.80276663796774</c:v>
                </c:pt>
                <c:pt idx="72">
                  <c:v>46.250000000000007</c:v>
                </c:pt>
                <c:pt idx="73">
                  <c:v>97.25</c:v>
                </c:pt>
                <c:pt idx="75">
                  <c:v>46.250000000000007</c:v>
                </c:pt>
                <c:pt idx="76">
                  <c:v>97.25</c:v>
                </c:pt>
              </c:numCache>
            </c:numRef>
          </c:xVal>
          <c:yVal>
            <c:numRef>
              <c:f>Path!$G$16:$G$153</c:f>
              <c:numCache>
                <c:formatCode>0.0</c:formatCode>
                <c:ptCount val="138"/>
                <c:pt idx="0">
                  <c:v>10.700000000000001</c:v>
                </c:pt>
                <c:pt idx="1">
                  <c:v>1.9</c:v>
                </c:pt>
                <c:pt idx="3">
                  <c:v>10.700000000000001</c:v>
                </c:pt>
                <c:pt idx="4">
                  <c:v>1.9</c:v>
                </c:pt>
                <c:pt idx="6">
                  <c:v>10.700000000000001</c:v>
                </c:pt>
                <c:pt idx="7">
                  <c:v>1.9</c:v>
                </c:pt>
                <c:pt idx="9">
                  <c:v>10.700000000000001</c:v>
                </c:pt>
                <c:pt idx="10">
                  <c:v>1.9</c:v>
                </c:pt>
                <c:pt idx="12">
                  <c:v>10.700000000000001</c:v>
                </c:pt>
                <c:pt idx="13">
                  <c:v>6.3000000000000007</c:v>
                </c:pt>
                <c:pt idx="15">
                  <c:v>10.700000000000001</c:v>
                </c:pt>
                <c:pt idx="16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1">
                  <c:v>80.8</c:v>
                </c:pt>
                <c:pt idx="22">
                  <c:v>85.199999999999989</c:v>
                </c:pt>
                <c:pt idx="24">
                  <c:v>80.8</c:v>
                </c:pt>
                <c:pt idx="25">
                  <c:v>89.6</c:v>
                </c:pt>
                <c:pt idx="27">
                  <c:v>80.8</c:v>
                </c:pt>
                <c:pt idx="28">
                  <c:v>89.6</c:v>
                </c:pt>
                <c:pt idx="30">
                  <c:v>80.8</c:v>
                </c:pt>
                <c:pt idx="31">
                  <c:v>89.6</c:v>
                </c:pt>
                <c:pt idx="33">
                  <c:v>80.8</c:v>
                </c:pt>
                <c:pt idx="34">
                  <c:v>89.6</c:v>
                </c:pt>
                <c:pt idx="36">
                  <c:v>80.8</c:v>
                </c:pt>
                <c:pt idx="37">
                  <c:v>85.199999999999989</c:v>
                </c:pt>
                <c:pt idx="39">
                  <c:v>80.8</c:v>
                </c:pt>
                <c:pt idx="40">
                  <c:v>81.144864490490136</c:v>
                </c:pt>
                <c:pt idx="42">
                  <c:v>16.715087714469703</c:v>
                </c:pt>
                <c:pt idx="43">
                  <c:v>16.17171268963661</c:v>
                </c:pt>
                <c:pt idx="45">
                  <c:v>16.715087714469703</c:v>
                </c:pt>
                <c:pt idx="46">
                  <c:v>9.0358563448183045</c:v>
                </c:pt>
                <c:pt idx="48">
                  <c:v>16.715087714469703</c:v>
                </c:pt>
                <c:pt idx="49">
                  <c:v>1.9</c:v>
                </c:pt>
                <c:pt idx="51">
                  <c:v>16.715087714469703</c:v>
                </c:pt>
                <c:pt idx="52">
                  <c:v>1.9</c:v>
                </c:pt>
                <c:pt idx="54">
                  <c:v>16.863891954531258</c:v>
                </c:pt>
                <c:pt idx="55">
                  <c:v>1.9</c:v>
                </c:pt>
                <c:pt idx="57">
                  <c:v>16.863891954531258</c:v>
                </c:pt>
                <c:pt idx="58">
                  <c:v>1.9</c:v>
                </c:pt>
                <c:pt idx="60">
                  <c:v>16.863891954531258</c:v>
                </c:pt>
                <c:pt idx="61">
                  <c:v>9.6957201072176211</c:v>
                </c:pt>
                <c:pt idx="63">
                  <c:v>16.863891954531258</c:v>
                </c:pt>
                <c:pt idx="64">
                  <c:v>17.491440214435244</c:v>
                </c:pt>
                <c:pt idx="66">
                  <c:v>91.5</c:v>
                </c:pt>
                <c:pt idx="67">
                  <c:v>90.645129009440325</c:v>
                </c:pt>
                <c:pt idx="72">
                  <c:v>12.600000000000001</c:v>
                </c:pt>
                <c:pt idx="73">
                  <c:v>12.600000000000001</c:v>
                </c:pt>
                <c:pt idx="75">
                  <c:v>91.5</c:v>
                </c:pt>
                <c:pt idx="76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13-4160-9903-5E3AD1D687C5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Panels!$F$134:$F$149</c:f>
              <c:numCache>
                <c:formatCode>0.0</c:formatCode>
                <c:ptCount val="16"/>
                <c:pt idx="0">
                  <c:v>94.75</c:v>
                </c:pt>
                <c:pt idx="1">
                  <c:v>71.75</c:v>
                </c:pt>
                <c:pt idx="2">
                  <c:v>71.75</c:v>
                </c:pt>
                <c:pt idx="3">
                  <c:v>79.25</c:v>
                </c:pt>
                <c:pt idx="4">
                  <c:v>79.25</c:v>
                </c:pt>
                <c:pt idx="5">
                  <c:v>92.85</c:v>
                </c:pt>
                <c:pt idx="7">
                  <c:v>48.75</c:v>
                </c:pt>
                <c:pt idx="8">
                  <c:v>71.75</c:v>
                </c:pt>
                <c:pt idx="9">
                  <c:v>71.75</c:v>
                </c:pt>
                <c:pt idx="10">
                  <c:v>64.25</c:v>
                </c:pt>
                <c:pt idx="11">
                  <c:v>64.25</c:v>
                </c:pt>
                <c:pt idx="12">
                  <c:v>50.65</c:v>
                </c:pt>
                <c:pt idx="14">
                  <c:v>64.25</c:v>
                </c:pt>
                <c:pt idx="15">
                  <c:v>79.25</c:v>
                </c:pt>
              </c:numCache>
            </c:numRef>
          </c:xVal>
          <c:yVal>
            <c:numRef>
              <c:f>Panels!$G$134:$G$149</c:f>
              <c:numCache>
                <c:formatCode>0.0</c:formatCode>
                <c:ptCount val="16"/>
                <c:pt idx="0">
                  <c:v>12.600000000000001</c:v>
                </c:pt>
                <c:pt idx="1">
                  <c:v>12.600000000000001</c:v>
                </c:pt>
                <c:pt idx="2">
                  <c:v>37.400000000000006</c:v>
                </c:pt>
                <c:pt idx="3">
                  <c:v>37.400000000000006</c:v>
                </c:pt>
                <c:pt idx="4">
                  <c:v>27.400000000000006</c:v>
                </c:pt>
                <c:pt idx="5">
                  <c:v>12.600000000000001</c:v>
                </c:pt>
                <c:pt idx="7">
                  <c:v>12.600000000000001</c:v>
                </c:pt>
                <c:pt idx="8">
                  <c:v>12.600000000000001</c:v>
                </c:pt>
                <c:pt idx="9">
                  <c:v>37.400000000000006</c:v>
                </c:pt>
                <c:pt idx="10">
                  <c:v>37.400000000000006</c:v>
                </c:pt>
                <c:pt idx="11">
                  <c:v>27.400000000000006</c:v>
                </c:pt>
                <c:pt idx="12">
                  <c:v>12.600000000000001</c:v>
                </c:pt>
                <c:pt idx="14">
                  <c:v>27.400000000000006</c:v>
                </c:pt>
                <c:pt idx="15">
                  <c:v>27.400000000000006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13-4160-9903-5E3AD1D687C5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Path!$J$16:$J$153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2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5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8">
                  <c:v>99.15</c:v>
                </c:pt>
                <c:pt idx="9">
                  <c:v>101.35000000000001</c:v>
                </c:pt>
                <c:pt idx="10">
                  <c:v>101.35000000000001</c:v>
                </c:pt>
                <c:pt idx="11">
                  <c:v>101.35000000000001</c:v>
                </c:pt>
                <c:pt idx="12">
                  <c:v>103.55000000000001</c:v>
                </c:pt>
                <c:pt idx="13">
                  <c:v>103.55000000000001</c:v>
                </c:pt>
                <c:pt idx="14">
                  <c:v>103.55000000000001</c:v>
                </c:pt>
                <c:pt idx="15">
                  <c:v>103.55000000000001</c:v>
                </c:pt>
                <c:pt idx="16">
                  <c:v>103.55000000000001</c:v>
                </c:pt>
                <c:pt idx="17">
                  <c:v>103.55000000000001</c:v>
                </c:pt>
                <c:pt idx="18">
                  <c:v>103.55000000000001</c:v>
                </c:pt>
                <c:pt idx="19">
                  <c:v>103.55000000000001</c:v>
                </c:pt>
                <c:pt idx="20">
                  <c:v>103.55000000000001</c:v>
                </c:pt>
                <c:pt idx="21">
                  <c:v>103.55000000000001</c:v>
                </c:pt>
                <c:pt idx="22">
                  <c:v>103.55000000000001</c:v>
                </c:pt>
                <c:pt idx="23">
                  <c:v>103.55000000000001</c:v>
                </c:pt>
                <c:pt idx="24">
                  <c:v>105.75</c:v>
                </c:pt>
                <c:pt idx="25">
                  <c:v>105.75</c:v>
                </c:pt>
                <c:pt idx="26">
                  <c:v>105.75</c:v>
                </c:pt>
                <c:pt idx="27">
                  <c:v>107.95</c:v>
                </c:pt>
                <c:pt idx="28">
                  <c:v>107.95</c:v>
                </c:pt>
                <c:pt idx="29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2">
                  <c:v>109.85000000000001</c:v>
                </c:pt>
                <c:pt idx="33">
                  <c:v>111.88213970555735</c:v>
                </c:pt>
                <c:pt idx="34">
                  <c:v>111.88213970555735</c:v>
                </c:pt>
                <c:pt idx="35">
                  <c:v>111.88213970555735</c:v>
                </c:pt>
                <c:pt idx="36">
                  <c:v>114.08045145683354</c:v>
                </c:pt>
                <c:pt idx="37">
                  <c:v>114.08045145683354</c:v>
                </c:pt>
                <c:pt idx="38">
                  <c:v>114.08045145683354</c:v>
                </c:pt>
                <c:pt idx="39">
                  <c:v>114.24662350255238</c:v>
                </c:pt>
                <c:pt idx="40">
                  <c:v>114.24662350255238</c:v>
                </c:pt>
                <c:pt idx="41">
                  <c:v>114.24662350255238</c:v>
                </c:pt>
                <c:pt idx="42">
                  <c:v>116.77740328668355</c:v>
                </c:pt>
                <c:pt idx="43">
                  <c:v>116.77740328668355</c:v>
                </c:pt>
                <c:pt idx="44">
                  <c:v>116.77740328668355</c:v>
                </c:pt>
                <c:pt idx="45">
                  <c:v>116.77740328668355</c:v>
                </c:pt>
                <c:pt idx="46">
                  <c:v>116.77740328668355</c:v>
                </c:pt>
                <c:pt idx="47">
                  <c:v>116.77740328668355</c:v>
                </c:pt>
                <c:pt idx="48">
                  <c:v>120.38636406107355</c:v>
                </c:pt>
                <c:pt idx="49">
                  <c:v>120.38636406107355</c:v>
                </c:pt>
                <c:pt idx="50">
                  <c:v>120.38636406107355</c:v>
                </c:pt>
                <c:pt idx="51">
                  <c:v>123.99532483546355</c:v>
                </c:pt>
                <c:pt idx="52">
                  <c:v>123.99532483546355</c:v>
                </c:pt>
                <c:pt idx="53">
                  <c:v>123.99532483546355</c:v>
                </c:pt>
                <c:pt idx="54">
                  <c:v>125.89240684064309</c:v>
                </c:pt>
                <c:pt idx="55">
                  <c:v>125.89240684064309</c:v>
                </c:pt>
                <c:pt idx="56">
                  <c:v>125.89240684064309</c:v>
                </c:pt>
                <c:pt idx="57">
                  <c:v>129.74594606625311</c:v>
                </c:pt>
                <c:pt idx="58">
                  <c:v>129.74594606625311</c:v>
                </c:pt>
                <c:pt idx="59">
                  <c:v>129.74594606625311</c:v>
                </c:pt>
                <c:pt idx="60">
                  <c:v>133.59948529186309</c:v>
                </c:pt>
                <c:pt idx="61">
                  <c:v>133.59948529186309</c:v>
                </c:pt>
                <c:pt idx="62">
                  <c:v>133.59948529186309</c:v>
                </c:pt>
                <c:pt idx="63">
                  <c:v>133.59948529186309</c:v>
                </c:pt>
                <c:pt idx="64">
                  <c:v>133.59948529186309</c:v>
                </c:pt>
                <c:pt idx="65">
                  <c:v>133.59948529186309</c:v>
                </c:pt>
                <c:pt idx="66">
                  <c:v>130.70138331898386</c:v>
                </c:pt>
                <c:pt idx="67">
                  <c:v>130.70138331898386</c:v>
                </c:pt>
                <c:pt idx="68">
                  <c:v>130.70138331898386</c:v>
                </c:pt>
                <c:pt idx="72">
                  <c:v>71.75</c:v>
                </c:pt>
                <c:pt idx="73">
                  <c:v>71.75</c:v>
                </c:pt>
                <c:pt idx="74">
                  <c:v>71.75</c:v>
                </c:pt>
                <c:pt idx="75">
                  <c:v>71.75</c:v>
                </c:pt>
                <c:pt idx="76">
                  <c:v>71.75</c:v>
                </c:pt>
                <c:pt idx="77">
                  <c:v>71.75</c:v>
                </c:pt>
              </c:numCache>
            </c:numRef>
          </c:xVal>
          <c:yVal>
            <c:numRef>
              <c:f>Path!$K$16:$K$153</c:f>
              <c:numCache>
                <c:formatCode>0.0</c:formatCode>
                <c:ptCount val="138"/>
                <c:pt idx="0">
                  <c:v>6.3000000000000007</c:v>
                </c:pt>
                <c:pt idx="1">
                  <c:v>6.3000000000000007</c:v>
                </c:pt>
                <c:pt idx="2">
                  <c:v>6.3000000000000007</c:v>
                </c:pt>
                <c:pt idx="3">
                  <c:v>6.3000000000000007</c:v>
                </c:pt>
                <c:pt idx="4">
                  <c:v>6.3000000000000007</c:v>
                </c:pt>
                <c:pt idx="5">
                  <c:v>6.3000000000000007</c:v>
                </c:pt>
                <c:pt idx="6">
                  <c:v>6.3000000000000007</c:v>
                </c:pt>
                <c:pt idx="7">
                  <c:v>6.3000000000000007</c:v>
                </c:pt>
                <c:pt idx="8">
                  <c:v>6.3000000000000007</c:v>
                </c:pt>
                <c:pt idx="9">
                  <c:v>6.3000000000000007</c:v>
                </c:pt>
                <c:pt idx="10">
                  <c:v>6.3000000000000007</c:v>
                </c:pt>
                <c:pt idx="11">
                  <c:v>6.3000000000000007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10.700000000000001</c:v>
                </c:pt>
                <c:pt idx="16">
                  <c:v>10.700000000000001</c:v>
                </c:pt>
                <c:pt idx="17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0">
                  <c:v>80.8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85.199999999999989</c:v>
                </c:pt>
                <c:pt idx="25">
                  <c:v>85.199999999999989</c:v>
                </c:pt>
                <c:pt idx="26">
                  <c:v>85.199999999999989</c:v>
                </c:pt>
                <c:pt idx="27">
                  <c:v>85.199999999999989</c:v>
                </c:pt>
                <c:pt idx="28">
                  <c:v>85.199999999999989</c:v>
                </c:pt>
                <c:pt idx="29">
                  <c:v>85.199999999999989</c:v>
                </c:pt>
                <c:pt idx="30">
                  <c:v>85.199999999999989</c:v>
                </c:pt>
                <c:pt idx="31">
                  <c:v>85.199999999999989</c:v>
                </c:pt>
                <c:pt idx="32">
                  <c:v>85.199999999999989</c:v>
                </c:pt>
                <c:pt idx="33">
                  <c:v>85.199999999999989</c:v>
                </c:pt>
                <c:pt idx="34">
                  <c:v>85.199999999999989</c:v>
                </c:pt>
                <c:pt idx="35">
                  <c:v>85.199999999999989</c:v>
                </c:pt>
                <c:pt idx="36">
                  <c:v>83</c:v>
                </c:pt>
                <c:pt idx="37">
                  <c:v>83</c:v>
                </c:pt>
                <c:pt idx="38">
                  <c:v>83</c:v>
                </c:pt>
                <c:pt idx="39">
                  <c:v>80.972432245245074</c:v>
                </c:pt>
                <c:pt idx="40">
                  <c:v>80.972432245245074</c:v>
                </c:pt>
                <c:pt idx="41">
                  <c:v>80.972432245245074</c:v>
                </c:pt>
                <c:pt idx="42">
                  <c:v>16.443400202053155</c:v>
                </c:pt>
                <c:pt idx="43">
                  <c:v>16.443400202053155</c:v>
                </c:pt>
                <c:pt idx="44">
                  <c:v>16.443400202053155</c:v>
                </c:pt>
                <c:pt idx="45">
                  <c:v>12.875472029644005</c:v>
                </c:pt>
                <c:pt idx="46">
                  <c:v>12.875472029644005</c:v>
                </c:pt>
                <c:pt idx="47">
                  <c:v>12.875472029644005</c:v>
                </c:pt>
                <c:pt idx="48">
                  <c:v>9.307543857234851</c:v>
                </c:pt>
                <c:pt idx="49">
                  <c:v>9.307543857234851</c:v>
                </c:pt>
                <c:pt idx="50">
                  <c:v>9.307543857234851</c:v>
                </c:pt>
                <c:pt idx="51">
                  <c:v>9.307543857234851</c:v>
                </c:pt>
                <c:pt idx="52">
                  <c:v>9.307543857234851</c:v>
                </c:pt>
                <c:pt idx="53">
                  <c:v>9.307543857234851</c:v>
                </c:pt>
                <c:pt idx="54">
                  <c:v>9.3819459772656284</c:v>
                </c:pt>
                <c:pt idx="55">
                  <c:v>9.3819459772656284</c:v>
                </c:pt>
                <c:pt idx="56">
                  <c:v>9.3819459772656284</c:v>
                </c:pt>
                <c:pt idx="57">
                  <c:v>9.3819459772656284</c:v>
                </c:pt>
                <c:pt idx="58">
                  <c:v>9.3819459772656284</c:v>
                </c:pt>
                <c:pt idx="59">
                  <c:v>9.3819459772656284</c:v>
                </c:pt>
                <c:pt idx="60">
                  <c:v>13.27980603087444</c:v>
                </c:pt>
                <c:pt idx="61">
                  <c:v>13.27980603087444</c:v>
                </c:pt>
                <c:pt idx="62">
                  <c:v>13.27980603087444</c:v>
                </c:pt>
                <c:pt idx="63">
                  <c:v>17.177666084483249</c:v>
                </c:pt>
                <c:pt idx="64">
                  <c:v>17.177666084483249</c:v>
                </c:pt>
                <c:pt idx="65">
                  <c:v>17.177666084483249</c:v>
                </c:pt>
                <c:pt idx="66">
                  <c:v>91.072564504720162</c:v>
                </c:pt>
                <c:pt idx="67">
                  <c:v>91.072564504720162</c:v>
                </c:pt>
                <c:pt idx="68">
                  <c:v>91.072564504720162</c:v>
                </c:pt>
                <c:pt idx="72">
                  <c:v>12.600000000000001</c:v>
                </c:pt>
                <c:pt idx="73">
                  <c:v>12.600000000000001</c:v>
                </c:pt>
                <c:pt idx="74">
                  <c:v>12.600000000000001</c:v>
                </c:pt>
                <c:pt idx="75">
                  <c:v>91.5</c:v>
                </c:pt>
                <c:pt idx="76">
                  <c:v>91.5</c:v>
                </c:pt>
                <c:pt idx="77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13-4160-9903-5E3AD1D687C5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Panels!$F$96:$F$100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143.5</c:v>
                </c:pt>
              </c:numCache>
            </c:numRef>
          </c:xVal>
          <c:yVal>
            <c:numRef>
              <c:f>Panels!$G$96:$G$100</c:f>
              <c:numCache>
                <c:formatCode>0.0</c:formatCode>
                <c:ptCount val="5"/>
                <c:pt idx="0">
                  <c:v>0</c:v>
                </c:pt>
                <c:pt idx="1">
                  <c:v>143.5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D13-4160-9903-5E3AD1D687C5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Panels!$F$93:$F$94</c:f>
              <c:numCache>
                <c:formatCode>0.0</c:formatCode>
                <c:ptCount val="2"/>
                <c:pt idx="0">
                  <c:v>71.75</c:v>
                </c:pt>
                <c:pt idx="1">
                  <c:v>71.75</c:v>
                </c:pt>
              </c:numCache>
            </c:numRef>
          </c:xVal>
          <c:yVal>
            <c:numRef>
              <c:f>Panels!$G$93:$G$94</c:f>
              <c:numCache>
                <c:formatCode>0.0</c:formatCode>
                <c:ptCount val="2"/>
                <c:pt idx="0">
                  <c:v>12.600000000000001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D13-4160-9903-5E3AD1D6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029"/>
              <a:t>Horn Expansion</a:t>
            </a:r>
          </a:p>
        </c:rich>
      </c:tx>
      <c:layout>
        <c:manualLayout>
          <c:xMode val="edge"/>
          <c:yMode val="edge"/>
          <c:x val="0.4236118578765175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0855409165122"/>
          <c:y val="0.11484625253373526"/>
          <c:w val="0.81944583375012503"/>
          <c:h val="0.75630458985630544"/>
        </c:manualLayout>
      </c:layout>
      <c:scatterChart>
        <c:scatterStyle val="lineMarker"/>
        <c:varyColors val="0"/>
        <c:ser>
          <c:idx val="0"/>
          <c:order val="0"/>
          <c:tx>
            <c:v>Area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Path!$R$18:$R$153</c:f>
              <c:numCache>
                <c:formatCode>0</c:formatCode>
                <c:ptCount val="136"/>
                <c:pt idx="0">
                  <c:v>503.36000000000007</c:v>
                </c:pt>
                <c:pt idx="1">
                  <c:v>503.36000000000007</c:v>
                </c:pt>
                <c:pt idx="2">
                  <c:v>503.36000000000007</c:v>
                </c:pt>
                <c:pt idx="3">
                  <c:v>503.36000000000007</c:v>
                </c:pt>
                <c:pt idx="4">
                  <c:v>503.36000000000007</c:v>
                </c:pt>
                <c:pt idx="5">
                  <c:v>503.36000000000007</c:v>
                </c:pt>
                <c:pt idx="6">
                  <c:v>503.36000000000007</c:v>
                </c:pt>
                <c:pt idx="7">
                  <c:v>503.36000000000007</c:v>
                </c:pt>
                <c:pt idx="8">
                  <c:v>503.36000000000007</c:v>
                </c:pt>
                <c:pt idx="9">
                  <c:v>562.77358857714728</c:v>
                </c:pt>
                <c:pt idx="10">
                  <c:v>562.77358857714728</c:v>
                </c:pt>
                <c:pt idx="11">
                  <c:v>562.77358857714728</c:v>
                </c:pt>
                <c:pt idx="12">
                  <c:v>562.77358857714694</c:v>
                </c:pt>
                <c:pt idx="13">
                  <c:v>562.77358857714694</c:v>
                </c:pt>
                <c:pt idx="14">
                  <c:v>562.77358857714694</c:v>
                </c:pt>
                <c:pt idx="15">
                  <c:v>503.35999999999984</c:v>
                </c:pt>
                <c:pt idx="16">
                  <c:v>503.35999999999984</c:v>
                </c:pt>
                <c:pt idx="17">
                  <c:v>503.35999999999984</c:v>
                </c:pt>
                <c:pt idx="18">
                  <c:v>503.35999999999984</c:v>
                </c:pt>
                <c:pt idx="19">
                  <c:v>503.35999999999984</c:v>
                </c:pt>
                <c:pt idx="20">
                  <c:v>503.35999999999984</c:v>
                </c:pt>
                <c:pt idx="21">
                  <c:v>562.77358857714671</c:v>
                </c:pt>
                <c:pt idx="22">
                  <c:v>562.77358857714671</c:v>
                </c:pt>
                <c:pt idx="23">
                  <c:v>562.77358857714671</c:v>
                </c:pt>
                <c:pt idx="24">
                  <c:v>562.77358857714671</c:v>
                </c:pt>
                <c:pt idx="25">
                  <c:v>562.77358857714671</c:v>
                </c:pt>
                <c:pt idx="26">
                  <c:v>562.77358857714671</c:v>
                </c:pt>
                <c:pt idx="27">
                  <c:v>503.35999999999984</c:v>
                </c:pt>
                <c:pt idx="28">
                  <c:v>503.35999999999984</c:v>
                </c:pt>
                <c:pt idx="29">
                  <c:v>503.35999999999984</c:v>
                </c:pt>
                <c:pt idx="30">
                  <c:v>503.35999999999984</c:v>
                </c:pt>
                <c:pt idx="31">
                  <c:v>503.35999999999984</c:v>
                </c:pt>
                <c:pt idx="32">
                  <c:v>503.35999999999984</c:v>
                </c:pt>
                <c:pt idx="33">
                  <c:v>554.45175075554505</c:v>
                </c:pt>
                <c:pt idx="34">
                  <c:v>554.45175075554505</c:v>
                </c:pt>
                <c:pt idx="35">
                  <c:v>554.45175075554505</c:v>
                </c:pt>
                <c:pt idx="36">
                  <c:v>545.49393552095921</c:v>
                </c:pt>
                <c:pt idx="37">
                  <c:v>545.49393552095921</c:v>
                </c:pt>
                <c:pt idx="38">
                  <c:v>545.49393552095921</c:v>
                </c:pt>
                <c:pt idx="39">
                  <c:v>503.36040433098759</c:v>
                </c:pt>
                <c:pt idx="40">
                  <c:v>503.36040433098759</c:v>
                </c:pt>
                <c:pt idx="41">
                  <c:v>503.36040433098759</c:v>
                </c:pt>
                <c:pt idx="42">
                  <c:v>793.10418945914694</c:v>
                </c:pt>
                <c:pt idx="43">
                  <c:v>793.10418945914694</c:v>
                </c:pt>
                <c:pt idx="44">
                  <c:v>793.10418945914694</c:v>
                </c:pt>
                <c:pt idx="45">
                  <c:v>906.08530131309647</c:v>
                </c:pt>
                <c:pt idx="46">
                  <c:v>906.08530131309647</c:v>
                </c:pt>
                <c:pt idx="47">
                  <c:v>906.08530131309647</c:v>
                </c:pt>
                <c:pt idx="48">
                  <c:v>928.57125360124985</c:v>
                </c:pt>
                <c:pt idx="49">
                  <c:v>928.57125360124985</c:v>
                </c:pt>
                <c:pt idx="50">
                  <c:v>928.57125360124985</c:v>
                </c:pt>
                <c:pt idx="51">
                  <c:v>848.07449828548079</c:v>
                </c:pt>
                <c:pt idx="52">
                  <c:v>848.07449828548079</c:v>
                </c:pt>
                <c:pt idx="53">
                  <c:v>848.07449828548079</c:v>
                </c:pt>
                <c:pt idx="54">
                  <c:v>856.59264435826447</c:v>
                </c:pt>
                <c:pt idx="55">
                  <c:v>856.59264435826447</c:v>
                </c:pt>
                <c:pt idx="56">
                  <c:v>856.59264435826447</c:v>
                </c:pt>
                <c:pt idx="57">
                  <c:v>978.61775592589242</c:v>
                </c:pt>
                <c:pt idx="58">
                  <c:v>978.61775592589242</c:v>
                </c:pt>
                <c:pt idx="59">
                  <c:v>978.61775592589242</c:v>
                </c:pt>
                <c:pt idx="60">
                  <c:v>1002.9031632725039</c:v>
                </c:pt>
                <c:pt idx="61">
                  <c:v>1002.9031632725039</c:v>
                </c:pt>
                <c:pt idx="62">
                  <c:v>1002.9031632725039</c:v>
                </c:pt>
                <c:pt idx="63">
                  <c:v>915.96251441723996</c:v>
                </c:pt>
                <c:pt idx="64">
                  <c:v>915.96251441723996</c:v>
                </c:pt>
                <c:pt idx="65">
                  <c:v>915.96251441723996</c:v>
                </c:pt>
                <c:pt idx="66">
                  <c:v>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8C-4417-A279-BD7796C618E7}"/>
            </c:ext>
          </c:extLst>
        </c:ser>
        <c:ser>
          <c:idx val="1"/>
          <c:order val="1"/>
          <c:tx>
            <c:v>Area 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Path!$S$18:$S$153</c:f>
              <c:numCache>
                <c:formatCode>0</c:formatCode>
                <c:ptCount val="136"/>
                <c:pt idx="0">
                  <c:v>-503.36000000000007</c:v>
                </c:pt>
                <c:pt idx="1">
                  <c:v>-503.36000000000007</c:v>
                </c:pt>
                <c:pt idx="2">
                  <c:v>-503.36000000000007</c:v>
                </c:pt>
                <c:pt idx="3">
                  <c:v>-503.36000000000007</c:v>
                </c:pt>
                <c:pt idx="4">
                  <c:v>-503.36000000000007</c:v>
                </c:pt>
                <c:pt idx="5">
                  <c:v>-503.36000000000007</c:v>
                </c:pt>
                <c:pt idx="6">
                  <c:v>-503.36000000000007</c:v>
                </c:pt>
                <c:pt idx="7">
                  <c:v>-503.36000000000007</c:v>
                </c:pt>
                <c:pt idx="8">
                  <c:v>-503.36000000000007</c:v>
                </c:pt>
                <c:pt idx="9">
                  <c:v>-562.77358857714728</c:v>
                </c:pt>
                <c:pt idx="10">
                  <c:v>-562.77358857714728</c:v>
                </c:pt>
                <c:pt idx="11">
                  <c:v>-562.77358857714728</c:v>
                </c:pt>
                <c:pt idx="12">
                  <c:v>-562.77358857714694</c:v>
                </c:pt>
                <c:pt idx="13">
                  <c:v>-562.77358857714694</c:v>
                </c:pt>
                <c:pt idx="14">
                  <c:v>-562.77358857714694</c:v>
                </c:pt>
                <c:pt idx="15">
                  <c:v>-503.35999999999984</c:v>
                </c:pt>
                <c:pt idx="16">
                  <c:v>-503.35999999999984</c:v>
                </c:pt>
                <c:pt idx="17">
                  <c:v>-503.35999999999984</c:v>
                </c:pt>
                <c:pt idx="18">
                  <c:v>-503.35999999999984</c:v>
                </c:pt>
                <c:pt idx="19">
                  <c:v>-503.35999999999984</c:v>
                </c:pt>
                <c:pt idx="20">
                  <c:v>-503.35999999999984</c:v>
                </c:pt>
                <c:pt idx="21">
                  <c:v>-562.77358857714671</c:v>
                </c:pt>
                <c:pt idx="22">
                  <c:v>-562.77358857714671</c:v>
                </c:pt>
                <c:pt idx="23">
                  <c:v>-562.77358857714671</c:v>
                </c:pt>
                <c:pt idx="24">
                  <c:v>-562.77358857714671</c:v>
                </c:pt>
                <c:pt idx="25">
                  <c:v>-562.77358857714671</c:v>
                </c:pt>
                <c:pt idx="26">
                  <c:v>-562.77358857714671</c:v>
                </c:pt>
                <c:pt idx="27">
                  <c:v>-503.35999999999984</c:v>
                </c:pt>
                <c:pt idx="28">
                  <c:v>-503.35999999999984</c:v>
                </c:pt>
                <c:pt idx="29">
                  <c:v>-503.35999999999984</c:v>
                </c:pt>
                <c:pt idx="30">
                  <c:v>-503.35999999999984</c:v>
                </c:pt>
                <c:pt idx="31">
                  <c:v>-503.35999999999984</c:v>
                </c:pt>
                <c:pt idx="32">
                  <c:v>-503.35999999999984</c:v>
                </c:pt>
                <c:pt idx="33">
                  <c:v>-554.45175075554505</c:v>
                </c:pt>
                <c:pt idx="34">
                  <c:v>-554.45175075554505</c:v>
                </c:pt>
                <c:pt idx="35">
                  <c:v>-554.45175075554505</c:v>
                </c:pt>
                <c:pt idx="36">
                  <c:v>-545.49393552095921</c:v>
                </c:pt>
                <c:pt idx="37">
                  <c:v>-545.49393552095921</c:v>
                </c:pt>
                <c:pt idx="38">
                  <c:v>-545.49393552095921</c:v>
                </c:pt>
                <c:pt idx="39">
                  <c:v>-503.36040433098759</c:v>
                </c:pt>
                <c:pt idx="40">
                  <c:v>-503.36040433098759</c:v>
                </c:pt>
                <c:pt idx="41">
                  <c:v>-503.36040433098759</c:v>
                </c:pt>
                <c:pt idx="42">
                  <c:v>-793.10418945914694</c:v>
                </c:pt>
                <c:pt idx="43">
                  <c:v>-793.10418945914694</c:v>
                </c:pt>
                <c:pt idx="44">
                  <c:v>-793.10418945914694</c:v>
                </c:pt>
                <c:pt idx="45">
                  <c:v>-906.08530131309647</c:v>
                </c:pt>
                <c:pt idx="46">
                  <c:v>-906.08530131309647</c:v>
                </c:pt>
                <c:pt idx="47">
                  <c:v>-906.08530131309647</c:v>
                </c:pt>
                <c:pt idx="48">
                  <c:v>-928.57125360124985</c:v>
                </c:pt>
                <c:pt idx="49">
                  <c:v>-928.57125360124985</c:v>
                </c:pt>
                <c:pt idx="50">
                  <c:v>-928.57125360124985</c:v>
                </c:pt>
                <c:pt idx="51">
                  <c:v>-848.07449828548079</c:v>
                </c:pt>
                <c:pt idx="52">
                  <c:v>-848.07449828548079</c:v>
                </c:pt>
                <c:pt idx="53">
                  <c:v>-848.07449828548079</c:v>
                </c:pt>
                <c:pt idx="54">
                  <c:v>-856.59264435826447</c:v>
                </c:pt>
                <c:pt idx="55">
                  <c:v>-856.59264435826447</c:v>
                </c:pt>
                <c:pt idx="56">
                  <c:v>-856.59264435826447</c:v>
                </c:pt>
                <c:pt idx="57">
                  <c:v>-978.61775592589242</c:v>
                </c:pt>
                <c:pt idx="58">
                  <c:v>-978.61775592589242</c:v>
                </c:pt>
                <c:pt idx="59">
                  <c:v>-978.61775592589242</c:v>
                </c:pt>
                <c:pt idx="60">
                  <c:v>-1002.9031632725039</c:v>
                </c:pt>
                <c:pt idx="61">
                  <c:v>-1002.9031632725039</c:v>
                </c:pt>
                <c:pt idx="62">
                  <c:v>-1002.9031632725039</c:v>
                </c:pt>
                <c:pt idx="63">
                  <c:v>-915.96251441723996</c:v>
                </c:pt>
                <c:pt idx="64">
                  <c:v>-915.96251441723996</c:v>
                </c:pt>
                <c:pt idx="65">
                  <c:v>-915.96251441723996</c:v>
                </c:pt>
                <c:pt idx="66">
                  <c:v>-1247.7602633065972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8C-4417-A279-BD7796C618E7}"/>
            </c:ext>
          </c:extLst>
        </c:ser>
        <c:ser>
          <c:idx val="2"/>
          <c:order val="2"/>
          <c:tx>
            <c:v>Area 3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Path!$U$18:$U$153</c:f>
              <c:numCache>
                <c:formatCode>0</c:formatCode>
                <c:ptCount val="136"/>
                <c:pt idx="0">
                  <c:v>503.36000000000007</c:v>
                </c:pt>
                <c:pt idx="1">
                  <c:v>503.36000000000007</c:v>
                </c:pt>
                <c:pt idx="2">
                  <c:v>503.36000000000007</c:v>
                </c:pt>
                <c:pt idx="3">
                  <c:v>503.36000000000007</c:v>
                </c:pt>
                <c:pt idx="4">
                  <c:v>503.36000000000007</c:v>
                </c:pt>
                <c:pt idx="5">
                  <c:v>503.36000000000007</c:v>
                </c:pt>
                <c:pt idx="6">
                  <c:v>503.36000000000007</c:v>
                </c:pt>
                <c:pt idx="7">
                  <c:v>503.36000000000007</c:v>
                </c:pt>
                <c:pt idx="8">
                  <c:v>503.36000000000007</c:v>
                </c:pt>
                <c:pt idx="9">
                  <c:v>503.36000000000007</c:v>
                </c:pt>
                <c:pt idx="10">
                  <c:v>503.36000000000007</c:v>
                </c:pt>
                <c:pt idx="11">
                  <c:v>503.36000000000007</c:v>
                </c:pt>
                <c:pt idx="12">
                  <c:v>503.36000000000007</c:v>
                </c:pt>
                <c:pt idx="13">
                  <c:v>503.36000000000007</c:v>
                </c:pt>
                <c:pt idx="14">
                  <c:v>503.36000000000007</c:v>
                </c:pt>
                <c:pt idx="15">
                  <c:v>503.36000000000007</c:v>
                </c:pt>
                <c:pt idx="16">
                  <c:v>503.36000000000007</c:v>
                </c:pt>
                <c:pt idx="17">
                  <c:v>503.36000000000007</c:v>
                </c:pt>
                <c:pt idx="18">
                  <c:v>503.36000000000007</c:v>
                </c:pt>
                <c:pt idx="19">
                  <c:v>503.36000000000007</c:v>
                </c:pt>
                <c:pt idx="20">
                  <c:v>503.36000000000007</c:v>
                </c:pt>
                <c:pt idx="21">
                  <c:v>503.36000000000007</c:v>
                </c:pt>
                <c:pt idx="22">
                  <c:v>503.36000000000007</c:v>
                </c:pt>
                <c:pt idx="23">
                  <c:v>503.36000000000007</c:v>
                </c:pt>
                <c:pt idx="24">
                  <c:v>503.36000000000007</c:v>
                </c:pt>
                <c:pt idx="25">
                  <c:v>503.36000000000007</c:v>
                </c:pt>
                <c:pt idx="26">
                  <c:v>503.36000000000007</c:v>
                </c:pt>
                <c:pt idx="27">
                  <c:v>503.36000000000007</c:v>
                </c:pt>
                <c:pt idx="28">
                  <c:v>503.36000000000007</c:v>
                </c:pt>
                <c:pt idx="29">
                  <c:v>503.36000000000007</c:v>
                </c:pt>
                <c:pt idx="30">
                  <c:v>503.36000000000007</c:v>
                </c:pt>
                <c:pt idx="31">
                  <c:v>503.36000000000007</c:v>
                </c:pt>
                <c:pt idx="32">
                  <c:v>503.36000000000007</c:v>
                </c:pt>
                <c:pt idx="33">
                  <c:v>503.36000000000007</c:v>
                </c:pt>
                <c:pt idx="34">
                  <c:v>503.36000000000007</c:v>
                </c:pt>
                <c:pt idx="35">
                  <c:v>503.36000000000007</c:v>
                </c:pt>
                <c:pt idx="36">
                  <c:v>503.36000000000007</c:v>
                </c:pt>
                <c:pt idx="37">
                  <c:v>503.36000000000007</c:v>
                </c:pt>
                <c:pt idx="38">
                  <c:v>503.36000000000007</c:v>
                </c:pt>
                <c:pt idx="39">
                  <c:v>503.36000000000007</c:v>
                </c:pt>
                <c:pt idx="40">
                  <c:v>503.36040433098759</c:v>
                </c:pt>
                <c:pt idx="41">
                  <c:v>503.36040433098759</c:v>
                </c:pt>
                <c:pt idx="42">
                  <c:v>793.10418919409744</c:v>
                </c:pt>
                <c:pt idx="43">
                  <c:v>793.10418919409744</c:v>
                </c:pt>
                <c:pt idx="44">
                  <c:v>793.10418919409744</c:v>
                </c:pt>
                <c:pt idx="45">
                  <c:v>809.11234611818759</c:v>
                </c:pt>
                <c:pt idx="46">
                  <c:v>809.11234611818759</c:v>
                </c:pt>
                <c:pt idx="47">
                  <c:v>809.11234611818759</c:v>
                </c:pt>
                <c:pt idx="48">
                  <c:v>831.88184939020903</c:v>
                </c:pt>
                <c:pt idx="49">
                  <c:v>831.88184939020903</c:v>
                </c:pt>
                <c:pt idx="50">
                  <c:v>831.88184939020903</c:v>
                </c:pt>
                <c:pt idx="51">
                  <c:v>848.07410652589897</c:v>
                </c:pt>
                <c:pt idx="52">
                  <c:v>848.07410652589897</c:v>
                </c:pt>
                <c:pt idx="53">
                  <c:v>848.07410652589897</c:v>
                </c:pt>
                <c:pt idx="54">
                  <c:v>856.59225259089021</c:v>
                </c:pt>
                <c:pt idx="55">
                  <c:v>856.59225259089021</c:v>
                </c:pt>
                <c:pt idx="56">
                  <c:v>856.59225259089021</c:v>
                </c:pt>
                <c:pt idx="57">
                  <c:v>873.88185531152158</c:v>
                </c:pt>
                <c:pt idx="58">
                  <c:v>873.88185531152158</c:v>
                </c:pt>
                <c:pt idx="59">
                  <c:v>873.88185531152158</c:v>
                </c:pt>
                <c:pt idx="60">
                  <c:v>898.47405856605474</c:v>
                </c:pt>
                <c:pt idx="61">
                  <c:v>898.47405856605474</c:v>
                </c:pt>
                <c:pt idx="62">
                  <c:v>898.47405856605474</c:v>
                </c:pt>
                <c:pt idx="63">
                  <c:v>915.96251472075915</c:v>
                </c:pt>
                <c:pt idx="64">
                  <c:v>915.96251472075915</c:v>
                </c:pt>
                <c:pt idx="65">
                  <c:v>915.96251472075915</c:v>
                </c:pt>
                <c:pt idx="66">
                  <c:v>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8C-4417-A279-BD7796C618E7}"/>
            </c:ext>
          </c:extLst>
        </c:ser>
        <c:ser>
          <c:idx val="3"/>
          <c:order val="3"/>
          <c:tx>
            <c:v>Area 4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Path!$N$18:$N$153</c:f>
              <c:numCache>
                <c:formatCode>0.0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13.225000000000009</c:v>
                </c:pt>
                <c:pt idx="4">
                  <c:v>13.225000000000009</c:v>
                </c:pt>
                <c:pt idx="5">
                  <c:v>13.225000000000009</c:v>
                </c:pt>
                <c:pt idx="6">
                  <c:v>26.450000000000003</c:v>
                </c:pt>
                <c:pt idx="7">
                  <c:v>26.450000000000003</c:v>
                </c:pt>
                <c:pt idx="8">
                  <c:v>26.450000000000003</c:v>
                </c:pt>
                <c:pt idx="9">
                  <c:v>28.650000000000006</c:v>
                </c:pt>
                <c:pt idx="10">
                  <c:v>28.650000000000006</c:v>
                </c:pt>
                <c:pt idx="11">
                  <c:v>28.650000000000006</c:v>
                </c:pt>
                <c:pt idx="12">
                  <c:v>31.761269837220816</c:v>
                </c:pt>
                <c:pt idx="13">
                  <c:v>31.761269837220816</c:v>
                </c:pt>
                <c:pt idx="14">
                  <c:v>31.761269837220816</c:v>
                </c:pt>
                <c:pt idx="15">
                  <c:v>33.961269837220819</c:v>
                </c:pt>
                <c:pt idx="16">
                  <c:v>33.961269837220819</c:v>
                </c:pt>
                <c:pt idx="17">
                  <c:v>33.961269837220819</c:v>
                </c:pt>
                <c:pt idx="18">
                  <c:v>104.06126983722081</c:v>
                </c:pt>
                <c:pt idx="19">
                  <c:v>104.06126983722081</c:v>
                </c:pt>
                <c:pt idx="20">
                  <c:v>104.06126983722081</c:v>
                </c:pt>
                <c:pt idx="21">
                  <c:v>106.26126983722081</c:v>
                </c:pt>
                <c:pt idx="22">
                  <c:v>106.26126983722081</c:v>
                </c:pt>
                <c:pt idx="23">
                  <c:v>106.26126983722081</c:v>
                </c:pt>
                <c:pt idx="24">
                  <c:v>109.3725396744416</c:v>
                </c:pt>
                <c:pt idx="25">
                  <c:v>109.3725396744416</c:v>
                </c:pt>
                <c:pt idx="26">
                  <c:v>109.3725396744416</c:v>
                </c:pt>
                <c:pt idx="27">
                  <c:v>111.5725396744416</c:v>
                </c:pt>
                <c:pt idx="28">
                  <c:v>111.5725396744416</c:v>
                </c:pt>
                <c:pt idx="29">
                  <c:v>111.5725396744416</c:v>
                </c:pt>
                <c:pt idx="30">
                  <c:v>113.47253967444161</c:v>
                </c:pt>
                <c:pt idx="31">
                  <c:v>113.47253967444161</c:v>
                </c:pt>
                <c:pt idx="32">
                  <c:v>113.47253967444161</c:v>
                </c:pt>
                <c:pt idx="33">
                  <c:v>115.50467937999895</c:v>
                </c:pt>
                <c:pt idx="34">
                  <c:v>115.50467937999895</c:v>
                </c:pt>
                <c:pt idx="35">
                  <c:v>115.50467937999895</c:v>
                </c:pt>
                <c:pt idx="36">
                  <c:v>118.61475567420766</c:v>
                </c:pt>
                <c:pt idx="37">
                  <c:v>118.61475567420766</c:v>
                </c:pt>
                <c:pt idx="38">
                  <c:v>118.61475567420766</c:v>
                </c:pt>
                <c:pt idx="39">
                  <c:v>120.64912145963081</c:v>
                </c:pt>
                <c:pt idx="40">
                  <c:v>120.64912145963081</c:v>
                </c:pt>
                <c:pt idx="41">
                  <c:v>120.64912145963081</c:v>
                </c:pt>
                <c:pt idx="42">
                  <c:v>185.22776206739724</c:v>
                </c:pt>
                <c:pt idx="43">
                  <c:v>185.22776206739724</c:v>
                </c:pt>
                <c:pt idx="44">
                  <c:v>185.22776206739724</c:v>
                </c:pt>
                <c:pt idx="45">
                  <c:v>188.79569023980639</c:v>
                </c:pt>
                <c:pt idx="46">
                  <c:v>188.79569023980639</c:v>
                </c:pt>
                <c:pt idx="47">
                  <c:v>188.79569023980639</c:v>
                </c:pt>
                <c:pt idx="48">
                  <c:v>193.87060002368989</c:v>
                </c:pt>
                <c:pt idx="49">
                  <c:v>193.87060002368989</c:v>
                </c:pt>
                <c:pt idx="50">
                  <c:v>193.87060002368989</c:v>
                </c:pt>
                <c:pt idx="51">
                  <c:v>197.47956079807989</c:v>
                </c:pt>
                <c:pt idx="52">
                  <c:v>197.47956079807989</c:v>
                </c:pt>
                <c:pt idx="53">
                  <c:v>197.47956079807989</c:v>
                </c:pt>
                <c:pt idx="54">
                  <c:v>199.37810124006185</c:v>
                </c:pt>
                <c:pt idx="55">
                  <c:v>199.37810124006185</c:v>
                </c:pt>
                <c:pt idx="56">
                  <c:v>199.37810124006185</c:v>
                </c:pt>
                <c:pt idx="57">
                  <c:v>203.23164046567189</c:v>
                </c:pt>
                <c:pt idx="58">
                  <c:v>203.23164046567189</c:v>
                </c:pt>
                <c:pt idx="59">
                  <c:v>203.23164046567189</c:v>
                </c:pt>
                <c:pt idx="60">
                  <c:v>208.71279705537393</c:v>
                </c:pt>
                <c:pt idx="61">
                  <c:v>208.71279705537393</c:v>
                </c:pt>
                <c:pt idx="62">
                  <c:v>208.71279705537393</c:v>
                </c:pt>
                <c:pt idx="63">
                  <c:v>212.61065710898274</c:v>
                </c:pt>
                <c:pt idx="64">
                  <c:v>212.61065710898274</c:v>
                </c:pt>
                <c:pt idx="65">
                  <c:v>212.61065710898274</c:v>
                </c:pt>
                <c:pt idx="66">
                  <c:v>286.56236437515975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78.900000000000006</c:v>
                </c:pt>
              </c:numCache>
            </c:numRef>
          </c:xVal>
          <c:yVal>
            <c:numRef>
              <c:f>Path!$V$18:$V$153</c:f>
              <c:numCache>
                <c:formatCode>0</c:formatCode>
                <c:ptCount val="136"/>
                <c:pt idx="0">
                  <c:v>-503.36000000000007</c:v>
                </c:pt>
                <c:pt idx="1">
                  <c:v>-503.36000000000007</c:v>
                </c:pt>
                <c:pt idx="2">
                  <c:v>-503.36000000000007</c:v>
                </c:pt>
                <c:pt idx="3">
                  <c:v>-503.36000000000007</c:v>
                </c:pt>
                <c:pt idx="4">
                  <c:v>-503.36000000000007</c:v>
                </c:pt>
                <c:pt idx="5">
                  <c:v>-503.36000000000007</c:v>
                </c:pt>
                <c:pt idx="6">
                  <c:v>-503.36000000000007</c:v>
                </c:pt>
                <c:pt idx="7">
                  <c:v>-503.36000000000007</c:v>
                </c:pt>
                <c:pt idx="8">
                  <c:v>-503.36000000000007</c:v>
                </c:pt>
                <c:pt idx="9">
                  <c:v>-503.36000000000007</c:v>
                </c:pt>
                <c:pt idx="10">
                  <c:v>-503.36000000000007</c:v>
                </c:pt>
                <c:pt idx="11">
                  <c:v>-503.36000000000007</c:v>
                </c:pt>
                <c:pt idx="12">
                  <c:v>-503.36000000000007</c:v>
                </c:pt>
                <c:pt idx="13">
                  <c:v>-503.36000000000007</c:v>
                </c:pt>
                <c:pt idx="14">
                  <c:v>-503.36000000000007</c:v>
                </c:pt>
                <c:pt idx="15">
                  <c:v>-503.36000000000007</c:v>
                </c:pt>
                <c:pt idx="16">
                  <c:v>-503.36000000000007</c:v>
                </c:pt>
                <c:pt idx="17">
                  <c:v>-503.36000000000007</c:v>
                </c:pt>
                <c:pt idx="18">
                  <c:v>-503.36000000000007</c:v>
                </c:pt>
                <c:pt idx="19">
                  <c:v>-503.36000000000007</c:v>
                </c:pt>
                <c:pt idx="20">
                  <c:v>-503.36000000000007</c:v>
                </c:pt>
                <c:pt idx="21">
                  <c:v>-503.36000000000007</c:v>
                </c:pt>
                <c:pt idx="22">
                  <c:v>-503.36000000000007</c:v>
                </c:pt>
                <c:pt idx="23">
                  <c:v>-503.36000000000007</c:v>
                </c:pt>
                <c:pt idx="24">
                  <c:v>-503.36000000000007</c:v>
                </c:pt>
                <c:pt idx="25">
                  <c:v>-503.36000000000007</c:v>
                </c:pt>
                <c:pt idx="26">
                  <c:v>-503.36000000000007</c:v>
                </c:pt>
                <c:pt idx="27">
                  <c:v>-503.36000000000007</c:v>
                </c:pt>
                <c:pt idx="28">
                  <c:v>-503.36000000000007</c:v>
                </c:pt>
                <c:pt idx="29">
                  <c:v>-503.36000000000007</c:v>
                </c:pt>
                <c:pt idx="30">
                  <c:v>-503.36000000000007</c:v>
                </c:pt>
                <c:pt idx="31">
                  <c:v>-503.36000000000007</c:v>
                </c:pt>
                <c:pt idx="32">
                  <c:v>-503.36000000000007</c:v>
                </c:pt>
                <c:pt idx="33">
                  <c:v>-503.36000000000007</c:v>
                </c:pt>
                <c:pt idx="34">
                  <c:v>-503.36000000000007</c:v>
                </c:pt>
                <c:pt idx="35">
                  <c:v>-503.36000000000007</c:v>
                </c:pt>
                <c:pt idx="36">
                  <c:v>-503.36000000000007</c:v>
                </c:pt>
                <c:pt idx="37">
                  <c:v>-503.36000000000007</c:v>
                </c:pt>
                <c:pt idx="38">
                  <c:v>-503.36000000000007</c:v>
                </c:pt>
                <c:pt idx="39">
                  <c:v>-503.36000000000007</c:v>
                </c:pt>
                <c:pt idx="40">
                  <c:v>-503.36040433098759</c:v>
                </c:pt>
                <c:pt idx="41">
                  <c:v>-503.36040433098759</c:v>
                </c:pt>
                <c:pt idx="42">
                  <c:v>-793.10418919409744</c:v>
                </c:pt>
                <c:pt idx="43">
                  <c:v>-793.10418919409744</c:v>
                </c:pt>
                <c:pt idx="44">
                  <c:v>-793.10418919409744</c:v>
                </c:pt>
                <c:pt idx="45">
                  <c:v>-809.11234611818759</c:v>
                </c:pt>
                <c:pt idx="46">
                  <c:v>-809.11234611818759</c:v>
                </c:pt>
                <c:pt idx="47">
                  <c:v>-809.11234611818759</c:v>
                </c:pt>
                <c:pt idx="48">
                  <c:v>-831.88184939020903</c:v>
                </c:pt>
                <c:pt idx="49">
                  <c:v>-831.88184939020903</c:v>
                </c:pt>
                <c:pt idx="50">
                  <c:v>-831.88184939020903</c:v>
                </c:pt>
                <c:pt idx="51">
                  <c:v>-848.07410652589897</c:v>
                </c:pt>
                <c:pt idx="52">
                  <c:v>-848.07410652589897</c:v>
                </c:pt>
                <c:pt idx="53">
                  <c:v>-848.07410652589897</c:v>
                </c:pt>
                <c:pt idx="54">
                  <c:v>-856.59225259089021</c:v>
                </c:pt>
                <c:pt idx="55">
                  <c:v>-856.59225259089021</c:v>
                </c:pt>
                <c:pt idx="56">
                  <c:v>-856.59225259089021</c:v>
                </c:pt>
                <c:pt idx="57">
                  <c:v>-873.88185531152158</c:v>
                </c:pt>
                <c:pt idx="58">
                  <c:v>-873.88185531152158</c:v>
                </c:pt>
                <c:pt idx="59">
                  <c:v>-873.88185531152158</c:v>
                </c:pt>
                <c:pt idx="60">
                  <c:v>-898.47405856605474</c:v>
                </c:pt>
                <c:pt idx="61">
                  <c:v>-898.47405856605474</c:v>
                </c:pt>
                <c:pt idx="62">
                  <c:v>-898.47405856605474</c:v>
                </c:pt>
                <c:pt idx="63">
                  <c:v>-915.96251472075915</c:v>
                </c:pt>
                <c:pt idx="64">
                  <c:v>-915.96251472075915</c:v>
                </c:pt>
                <c:pt idx="65">
                  <c:v>-915.96251472075915</c:v>
                </c:pt>
                <c:pt idx="66">
                  <c:v>-1247.7602633065972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8C-4417-A279-BD7796C61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48224"/>
        <c:axId val="1"/>
      </c:scatterChart>
      <c:valAx>
        <c:axId val="31914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Length</a:t>
                </a:r>
              </a:p>
            </c:rich>
          </c:tx>
          <c:layout>
            <c:manualLayout>
              <c:xMode val="edge"/>
              <c:yMode val="edge"/>
              <c:x val="0.50347320969627496"/>
              <c:y val="0.899162016512641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Area</a:t>
                </a:r>
              </a:p>
            </c:rich>
          </c:tx>
          <c:layout>
            <c:manualLayout>
              <c:xMode val="edge"/>
              <c:yMode val="edge"/>
              <c:x val="2.7777853591524626E-2"/>
              <c:y val="0.45098156848041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14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4741354609773"/>
          <c:y val="2.6929982046678635E-2"/>
          <c:w val="0.86111257105945338"/>
          <c:h val="0.85996409335727109"/>
        </c:manualLayout>
      </c:layout>
      <c:scatterChart>
        <c:scatterStyle val="lineMarker"/>
        <c:varyColors val="0"/>
        <c:ser>
          <c:idx val="1"/>
          <c:order val="0"/>
          <c:tx>
            <c:v>Outline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Panels!$F$9:$F$115</c:f>
              <c:numCache>
                <c:formatCode>0.0</c:formatCode>
                <c:ptCount val="107"/>
                <c:pt idx="0">
                  <c:v>141.6</c:v>
                </c:pt>
                <c:pt idx="1">
                  <c:v>141.6</c:v>
                </c:pt>
                <c:pt idx="2">
                  <c:v>143.5</c:v>
                </c:pt>
                <c:pt idx="3">
                  <c:v>143.5</c:v>
                </c:pt>
                <c:pt idx="4">
                  <c:v>141.6</c:v>
                </c:pt>
                <c:pt idx="6">
                  <c:v>0</c:v>
                </c:pt>
                <c:pt idx="7">
                  <c:v>0</c:v>
                </c:pt>
                <c:pt idx="8">
                  <c:v>1.9</c:v>
                </c:pt>
                <c:pt idx="9">
                  <c:v>1.9</c:v>
                </c:pt>
                <c:pt idx="10">
                  <c:v>0</c:v>
                </c:pt>
                <c:pt idx="12">
                  <c:v>72.7</c:v>
                </c:pt>
                <c:pt idx="13">
                  <c:v>72.7</c:v>
                </c:pt>
                <c:pt idx="14">
                  <c:v>70.8</c:v>
                </c:pt>
                <c:pt idx="15">
                  <c:v>70.8</c:v>
                </c:pt>
                <c:pt idx="16">
                  <c:v>72.7</c:v>
                </c:pt>
                <c:pt idx="18">
                  <c:v>143.5</c:v>
                </c:pt>
                <c:pt idx="19">
                  <c:v>0</c:v>
                </c:pt>
                <c:pt idx="20">
                  <c:v>0</c:v>
                </c:pt>
                <c:pt idx="21">
                  <c:v>143.5</c:v>
                </c:pt>
                <c:pt idx="22">
                  <c:v>143.5</c:v>
                </c:pt>
                <c:pt idx="24">
                  <c:v>0</c:v>
                </c:pt>
                <c:pt idx="25">
                  <c:v>143.5</c:v>
                </c:pt>
                <c:pt idx="26">
                  <c:v>143.5</c:v>
                </c:pt>
                <c:pt idx="27">
                  <c:v>0</c:v>
                </c:pt>
                <c:pt idx="28">
                  <c:v>0</c:v>
                </c:pt>
                <c:pt idx="30">
                  <c:v>97.25</c:v>
                </c:pt>
                <c:pt idx="31">
                  <c:v>117.82975458216781</c:v>
                </c:pt>
                <c:pt idx="32">
                  <c:v>117.82975458216781</c:v>
                </c:pt>
                <c:pt idx="33">
                  <c:v>97.25</c:v>
                </c:pt>
                <c:pt idx="34">
                  <c:v>97.25</c:v>
                </c:pt>
                <c:pt idx="36">
                  <c:v>46.250000000000007</c:v>
                </c:pt>
                <c:pt idx="37">
                  <c:v>25.670245417832195</c:v>
                </c:pt>
                <c:pt idx="38">
                  <c:v>25.670245417832195</c:v>
                </c:pt>
                <c:pt idx="39">
                  <c:v>46.250000000000007</c:v>
                </c:pt>
                <c:pt idx="40">
                  <c:v>46.250000000000007</c:v>
                </c:pt>
                <c:pt idx="42">
                  <c:v>99.15</c:v>
                </c:pt>
                <c:pt idx="43">
                  <c:v>99.15</c:v>
                </c:pt>
                <c:pt idx="44">
                  <c:v>44.350000000000009</c:v>
                </c:pt>
                <c:pt idx="45">
                  <c:v>44.350000000000009</c:v>
                </c:pt>
                <c:pt idx="46">
                  <c:v>99.15</c:v>
                </c:pt>
                <c:pt idx="48">
                  <c:v>109.85000000000001</c:v>
                </c:pt>
                <c:pt idx="49">
                  <c:v>109.85000000000001</c:v>
                </c:pt>
                <c:pt idx="50">
                  <c:v>107.95</c:v>
                </c:pt>
                <c:pt idx="51">
                  <c:v>107.95</c:v>
                </c:pt>
                <c:pt idx="52">
                  <c:v>109.85000000000001</c:v>
                </c:pt>
                <c:pt idx="54">
                  <c:v>33.65</c:v>
                </c:pt>
                <c:pt idx="55">
                  <c:v>33.65</c:v>
                </c:pt>
                <c:pt idx="56">
                  <c:v>35.549999999999997</c:v>
                </c:pt>
                <c:pt idx="57">
                  <c:v>35.549999999999997</c:v>
                </c:pt>
                <c:pt idx="58">
                  <c:v>33.65</c:v>
                </c:pt>
                <c:pt idx="60">
                  <c:v>25.670245417832195</c:v>
                </c:pt>
                <c:pt idx="61">
                  <c:v>19.795193426632931</c:v>
                </c:pt>
                <c:pt idx="62">
                  <c:v>17.901029416273822</c:v>
                </c:pt>
                <c:pt idx="63">
                  <c:v>23.776081407473086</c:v>
                </c:pt>
                <c:pt idx="64">
                  <c:v>25.670245417832195</c:v>
                </c:pt>
                <c:pt idx="66">
                  <c:v>117.82975458216781</c:v>
                </c:pt>
                <c:pt idx="67">
                  <c:v>123.70480657336708</c:v>
                </c:pt>
                <c:pt idx="68">
                  <c:v>125.59897058372619</c:v>
                </c:pt>
                <c:pt idx="69">
                  <c:v>119.72391859252691</c:v>
                </c:pt>
                <c:pt idx="70">
                  <c:v>117.82975458216781</c:v>
                </c:pt>
                <c:pt idx="72">
                  <c:v>99.15</c:v>
                </c:pt>
                <c:pt idx="73">
                  <c:v>99.15</c:v>
                </c:pt>
                <c:pt idx="74">
                  <c:v>97.25</c:v>
                </c:pt>
                <c:pt idx="75">
                  <c:v>97.25</c:v>
                </c:pt>
                <c:pt idx="76">
                  <c:v>99.15</c:v>
                </c:pt>
                <c:pt idx="78">
                  <c:v>44.350000000000009</c:v>
                </c:pt>
                <c:pt idx="79">
                  <c:v>44.350000000000009</c:v>
                </c:pt>
                <c:pt idx="80">
                  <c:v>46.250000000000007</c:v>
                </c:pt>
                <c:pt idx="81">
                  <c:v>46.250000000000007</c:v>
                </c:pt>
                <c:pt idx="82">
                  <c:v>44.350000000000009</c:v>
                </c:pt>
                <c:pt idx="84">
                  <c:v>71.75</c:v>
                </c:pt>
                <c:pt idx="85">
                  <c:v>71.75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143.5</c:v>
                </c:pt>
              </c:numCache>
            </c:numRef>
          </c:xVal>
          <c:yVal>
            <c:numRef>
              <c:f>Panels!$G$9:$G$115</c:f>
              <c:numCache>
                <c:formatCode>0.0</c:formatCode>
                <c:ptCount val="107"/>
                <c:pt idx="0">
                  <c:v>91.5</c:v>
                </c:pt>
                <c:pt idx="1">
                  <c:v>1.9</c:v>
                </c:pt>
                <c:pt idx="2">
                  <c:v>1.9</c:v>
                </c:pt>
                <c:pt idx="3">
                  <c:v>91.5</c:v>
                </c:pt>
                <c:pt idx="4">
                  <c:v>91.5</c:v>
                </c:pt>
                <c:pt idx="6">
                  <c:v>91.5</c:v>
                </c:pt>
                <c:pt idx="7">
                  <c:v>1.9</c:v>
                </c:pt>
                <c:pt idx="8">
                  <c:v>1.9</c:v>
                </c:pt>
                <c:pt idx="9">
                  <c:v>91.5</c:v>
                </c:pt>
                <c:pt idx="10">
                  <c:v>91.5</c:v>
                </c:pt>
                <c:pt idx="12">
                  <c:v>1.9</c:v>
                </c:pt>
                <c:pt idx="13">
                  <c:v>10.700000000000001</c:v>
                </c:pt>
                <c:pt idx="14">
                  <c:v>10.700000000000001</c:v>
                </c:pt>
                <c:pt idx="15">
                  <c:v>1.9</c:v>
                </c:pt>
                <c:pt idx="16">
                  <c:v>1.9</c:v>
                </c:pt>
                <c:pt idx="18">
                  <c:v>91.5</c:v>
                </c:pt>
                <c:pt idx="19">
                  <c:v>91.5</c:v>
                </c:pt>
                <c:pt idx="20">
                  <c:v>0</c:v>
                </c:pt>
                <c:pt idx="21">
                  <c:v>0</c:v>
                </c:pt>
                <c:pt idx="22">
                  <c:v>91.5</c:v>
                </c:pt>
                <c:pt idx="24">
                  <c:v>0</c:v>
                </c:pt>
                <c:pt idx="25">
                  <c:v>0</c:v>
                </c:pt>
                <c:pt idx="26">
                  <c:v>1.9</c:v>
                </c:pt>
                <c:pt idx="27">
                  <c:v>1.9</c:v>
                </c:pt>
                <c:pt idx="28">
                  <c:v>0</c:v>
                </c:pt>
                <c:pt idx="30">
                  <c:v>91.5</c:v>
                </c:pt>
                <c:pt idx="31">
                  <c:v>91.5</c:v>
                </c:pt>
                <c:pt idx="32">
                  <c:v>89.6</c:v>
                </c:pt>
                <c:pt idx="33">
                  <c:v>89.6</c:v>
                </c:pt>
                <c:pt idx="34">
                  <c:v>91.5</c:v>
                </c:pt>
                <c:pt idx="36">
                  <c:v>91.5</c:v>
                </c:pt>
                <c:pt idx="37">
                  <c:v>91.5</c:v>
                </c:pt>
                <c:pt idx="38">
                  <c:v>89.6</c:v>
                </c:pt>
                <c:pt idx="39">
                  <c:v>89.6</c:v>
                </c:pt>
                <c:pt idx="40">
                  <c:v>91.5</c:v>
                </c:pt>
                <c:pt idx="42">
                  <c:v>10.700000000000001</c:v>
                </c:pt>
                <c:pt idx="43">
                  <c:v>12.600000000000001</c:v>
                </c:pt>
                <c:pt idx="44">
                  <c:v>12.600000000000001</c:v>
                </c:pt>
                <c:pt idx="45">
                  <c:v>10.700000000000001</c:v>
                </c:pt>
                <c:pt idx="46">
                  <c:v>10.700000000000001</c:v>
                </c:pt>
                <c:pt idx="48">
                  <c:v>1.9</c:v>
                </c:pt>
                <c:pt idx="49">
                  <c:v>80.8</c:v>
                </c:pt>
                <c:pt idx="50">
                  <c:v>80.8</c:v>
                </c:pt>
                <c:pt idx="51">
                  <c:v>1.9</c:v>
                </c:pt>
                <c:pt idx="52">
                  <c:v>1.9</c:v>
                </c:pt>
                <c:pt idx="54">
                  <c:v>1.9</c:v>
                </c:pt>
                <c:pt idx="55">
                  <c:v>80.8</c:v>
                </c:pt>
                <c:pt idx="56">
                  <c:v>80.8</c:v>
                </c:pt>
                <c:pt idx="57">
                  <c:v>1.9</c:v>
                </c:pt>
                <c:pt idx="58">
                  <c:v>1.9</c:v>
                </c:pt>
                <c:pt idx="60">
                  <c:v>91.5</c:v>
                </c:pt>
                <c:pt idx="61">
                  <c:v>16.715087714469703</c:v>
                </c:pt>
                <c:pt idx="62">
                  <c:v>16.863891954531258</c:v>
                </c:pt>
                <c:pt idx="63">
                  <c:v>91.648804240061551</c:v>
                </c:pt>
                <c:pt idx="64">
                  <c:v>91.5</c:v>
                </c:pt>
                <c:pt idx="66">
                  <c:v>91.5</c:v>
                </c:pt>
                <c:pt idx="67">
                  <c:v>16.715087714469703</c:v>
                </c:pt>
                <c:pt idx="68">
                  <c:v>16.863891954531258</c:v>
                </c:pt>
                <c:pt idx="69">
                  <c:v>91.648804240061551</c:v>
                </c:pt>
                <c:pt idx="70">
                  <c:v>91.5</c:v>
                </c:pt>
                <c:pt idx="72">
                  <c:v>12.600000000000001</c:v>
                </c:pt>
                <c:pt idx="73">
                  <c:v>89.6</c:v>
                </c:pt>
                <c:pt idx="74">
                  <c:v>89.6</c:v>
                </c:pt>
                <c:pt idx="75">
                  <c:v>12.600000000000001</c:v>
                </c:pt>
                <c:pt idx="76">
                  <c:v>12.600000000000001</c:v>
                </c:pt>
                <c:pt idx="78">
                  <c:v>12.600000000000001</c:v>
                </c:pt>
                <c:pt idx="79">
                  <c:v>89.6</c:v>
                </c:pt>
                <c:pt idx="80">
                  <c:v>89.6</c:v>
                </c:pt>
                <c:pt idx="81">
                  <c:v>12.600000000000001</c:v>
                </c:pt>
                <c:pt idx="82">
                  <c:v>12.600000000000001</c:v>
                </c:pt>
                <c:pt idx="84">
                  <c:v>12.600000000000001</c:v>
                </c:pt>
                <c:pt idx="85">
                  <c:v>91.5</c:v>
                </c:pt>
                <c:pt idx="87">
                  <c:v>0</c:v>
                </c:pt>
                <c:pt idx="88">
                  <c:v>143.5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07-475C-B04E-E376ACD34D65}"/>
            </c:ext>
          </c:extLst>
        </c:ser>
        <c:ser>
          <c:idx val="5"/>
          <c:order val="1"/>
          <c:tx>
            <c:v>Option 7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4"/>
            <c:spPr>
              <a:noFill/>
              <a:ln>
                <a:noFill/>
                <a:prstDash val="solid"/>
              </a:ln>
            </c:spPr>
          </c:marker>
          <c:xVal>
            <c:numRef>
              <c:f>Path!$F$16:$F$153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9">
                  <c:v>99.15</c:v>
                </c:pt>
                <c:pt idx="10">
                  <c:v>103.55000000000001</c:v>
                </c:pt>
                <c:pt idx="12">
                  <c:v>99.15</c:v>
                </c:pt>
                <c:pt idx="13">
                  <c:v>107.95</c:v>
                </c:pt>
                <c:pt idx="15">
                  <c:v>99.15</c:v>
                </c:pt>
                <c:pt idx="16">
                  <c:v>107.95</c:v>
                </c:pt>
                <c:pt idx="18">
                  <c:v>99.15</c:v>
                </c:pt>
                <c:pt idx="19">
                  <c:v>107.95</c:v>
                </c:pt>
                <c:pt idx="21">
                  <c:v>107.95</c:v>
                </c:pt>
                <c:pt idx="22">
                  <c:v>99.15</c:v>
                </c:pt>
                <c:pt idx="24">
                  <c:v>107.95</c:v>
                </c:pt>
                <c:pt idx="25">
                  <c:v>103.55000000000001</c:v>
                </c:pt>
                <c:pt idx="27">
                  <c:v>107.95</c:v>
                </c:pt>
                <c:pt idx="28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3">
                  <c:v>109.85000000000001</c:v>
                </c:pt>
                <c:pt idx="34">
                  <c:v>113.91427941111469</c:v>
                </c:pt>
                <c:pt idx="36">
                  <c:v>109.85000000000001</c:v>
                </c:pt>
                <c:pt idx="37">
                  <c:v>118.31090291366706</c:v>
                </c:pt>
                <c:pt idx="39">
                  <c:v>109.85000000000001</c:v>
                </c:pt>
                <c:pt idx="40">
                  <c:v>118.64324700510475</c:v>
                </c:pt>
                <c:pt idx="42">
                  <c:v>123.70480657336708</c:v>
                </c:pt>
                <c:pt idx="43">
                  <c:v>109.85000000000001</c:v>
                </c:pt>
                <c:pt idx="45">
                  <c:v>123.70480657336708</c:v>
                </c:pt>
                <c:pt idx="46">
                  <c:v>109.85000000000001</c:v>
                </c:pt>
                <c:pt idx="48">
                  <c:v>123.70480657336708</c:v>
                </c:pt>
                <c:pt idx="49">
                  <c:v>117.06792154878001</c:v>
                </c:pt>
                <c:pt idx="51">
                  <c:v>123.70480657336708</c:v>
                </c:pt>
                <c:pt idx="52">
                  <c:v>124.28584309756</c:v>
                </c:pt>
                <c:pt idx="54">
                  <c:v>125.59897058372619</c:v>
                </c:pt>
                <c:pt idx="55">
                  <c:v>126.18584309756</c:v>
                </c:pt>
                <c:pt idx="57">
                  <c:v>125.59897058372619</c:v>
                </c:pt>
                <c:pt idx="58">
                  <c:v>133.89292154878001</c:v>
                </c:pt>
                <c:pt idx="60">
                  <c:v>125.59897058372619</c:v>
                </c:pt>
                <c:pt idx="61">
                  <c:v>141.6</c:v>
                </c:pt>
                <c:pt idx="63">
                  <c:v>125.59897058372619</c:v>
                </c:pt>
                <c:pt idx="64">
                  <c:v>141.6</c:v>
                </c:pt>
                <c:pt idx="66">
                  <c:v>141.6</c:v>
                </c:pt>
                <c:pt idx="67">
                  <c:v>119.80276663796774</c:v>
                </c:pt>
                <c:pt idx="72">
                  <c:v>46.250000000000007</c:v>
                </c:pt>
                <c:pt idx="73">
                  <c:v>97.25</c:v>
                </c:pt>
                <c:pt idx="75">
                  <c:v>46.250000000000007</c:v>
                </c:pt>
                <c:pt idx="76">
                  <c:v>97.25</c:v>
                </c:pt>
              </c:numCache>
            </c:numRef>
          </c:xVal>
          <c:yVal>
            <c:numRef>
              <c:f>Path!$G$16:$G$153</c:f>
              <c:numCache>
                <c:formatCode>0.0</c:formatCode>
                <c:ptCount val="138"/>
                <c:pt idx="0">
                  <c:v>10.700000000000001</c:v>
                </c:pt>
                <c:pt idx="1">
                  <c:v>1.9</c:v>
                </c:pt>
                <c:pt idx="3">
                  <c:v>10.700000000000001</c:v>
                </c:pt>
                <c:pt idx="4">
                  <c:v>1.9</c:v>
                </c:pt>
                <c:pt idx="6">
                  <c:v>10.700000000000001</c:v>
                </c:pt>
                <c:pt idx="7">
                  <c:v>1.9</c:v>
                </c:pt>
                <c:pt idx="9">
                  <c:v>10.700000000000001</c:v>
                </c:pt>
                <c:pt idx="10">
                  <c:v>1.9</c:v>
                </c:pt>
                <c:pt idx="12">
                  <c:v>10.700000000000001</c:v>
                </c:pt>
                <c:pt idx="13">
                  <c:v>6.3000000000000007</c:v>
                </c:pt>
                <c:pt idx="15">
                  <c:v>10.700000000000001</c:v>
                </c:pt>
                <c:pt idx="16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1">
                  <c:v>80.8</c:v>
                </c:pt>
                <c:pt idx="22">
                  <c:v>85.199999999999989</c:v>
                </c:pt>
                <c:pt idx="24">
                  <c:v>80.8</c:v>
                </c:pt>
                <c:pt idx="25">
                  <c:v>89.6</c:v>
                </c:pt>
                <c:pt idx="27">
                  <c:v>80.8</c:v>
                </c:pt>
                <c:pt idx="28">
                  <c:v>89.6</c:v>
                </c:pt>
                <c:pt idx="30">
                  <c:v>80.8</c:v>
                </c:pt>
                <c:pt idx="31">
                  <c:v>89.6</c:v>
                </c:pt>
                <c:pt idx="33">
                  <c:v>80.8</c:v>
                </c:pt>
                <c:pt idx="34">
                  <c:v>89.6</c:v>
                </c:pt>
                <c:pt idx="36">
                  <c:v>80.8</c:v>
                </c:pt>
                <c:pt idx="37">
                  <c:v>85.199999999999989</c:v>
                </c:pt>
                <c:pt idx="39">
                  <c:v>80.8</c:v>
                </c:pt>
                <c:pt idx="40">
                  <c:v>81.144864490490136</c:v>
                </c:pt>
                <c:pt idx="42">
                  <c:v>16.715087714469703</c:v>
                </c:pt>
                <c:pt idx="43">
                  <c:v>16.17171268963661</c:v>
                </c:pt>
                <c:pt idx="45">
                  <c:v>16.715087714469703</c:v>
                </c:pt>
                <c:pt idx="46">
                  <c:v>9.0358563448183045</c:v>
                </c:pt>
                <c:pt idx="48">
                  <c:v>16.715087714469703</c:v>
                </c:pt>
                <c:pt idx="49">
                  <c:v>1.9</c:v>
                </c:pt>
                <c:pt idx="51">
                  <c:v>16.715087714469703</c:v>
                </c:pt>
                <c:pt idx="52">
                  <c:v>1.9</c:v>
                </c:pt>
                <c:pt idx="54">
                  <c:v>16.863891954531258</c:v>
                </c:pt>
                <c:pt idx="55">
                  <c:v>1.9</c:v>
                </c:pt>
                <c:pt idx="57">
                  <c:v>16.863891954531258</c:v>
                </c:pt>
                <c:pt idx="58">
                  <c:v>1.9</c:v>
                </c:pt>
                <c:pt idx="60">
                  <c:v>16.863891954531258</c:v>
                </c:pt>
                <c:pt idx="61">
                  <c:v>9.6957201072176211</c:v>
                </c:pt>
                <c:pt idx="63">
                  <c:v>16.863891954531258</c:v>
                </c:pt>
                <c:pt idx="64">
                  <c:v>17.491440214435244</c:v>
                </c:pt>
                <c:pt idx="66">
                  <c:v>91.5</c:v>
                </c:pt>
                <c:pt idx="67">
                  <c:v>90.645129009440325</c:v>
                </c:pt>
                <c:pt idx="72">
                  <c:v>12.600000000000001</c:v>
                </c:pt>
                <c:pt idx="73">
                  <c:v>12.600000000000001</c:v>
                </c:pt>
                <c:pt idx="75">
                  <c:v>91.5</c:v>
                </c:pt>
                <c:pt idx="76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07-475C-B04E-E376ACD34D65}"/>
            </c:ext>
          </c:extLst>
        </c:ser>
        <c:ser>
          <c:idx val="6"/>
          <c:order val="2"/>
          <c:tx>
            <c:v>Driver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Panels!$F$134:$F$149</c:f>
              <c:numCache>
                <c:formatCode>0.0</c:formatCode>
                <c:ptCount val="16"/>
                <c:pt idx="0">
                  <c:v>94.75</c:v>
                </c:pt>
                <c:pt idx="1">
                  <c:v>71.75</c:v>
                </c:pt>
                <c:pt idx="2">
                  <c:v>71.75</c:v>
                </c:pt>
                <c:pt idx="3">
                  <c:v>79.25</c:v>
                </c:pt>
                <c:pt idx="4">
                  <c:v>79.25</c:v>
                </c:pt>
                <c:pt idx="5">
                  <c:v>92.85</c:v>
                </c:pt>
                <c:pt idx="7">
                  <c:v>48.75</c:v>
                </c:pt>
                <c:pt idx="8">
                  <c:v>71.75</c:v>
                </c:pt>
                <c:pt idx="9">
                  <c:v>71.75</c:v>
                </c:pt>
                <c:pt idx="10">
                  <c:v>64.25</c:v>
                </c:pt>
                <c:pt idx="11">
                  <c:v>64.25</c:v>
                </c:pt>
                <c:pt idx="12">
                  <c:v>50.65</c:v>
                </c:pt>
                <c:pt idx="14">
                  <c:v>64.25</c:v>
                </c:pt>
                <c:pt idx="15">
                  <c:v>79.25</c:v>
                </c:pt>
              </c:numCache>
            </c:numRef>
          </c:xVal>
          <c:yVal>
            <c:numRef>
              <c:f>Panels!$G$134:$G$149</c:f>
              <c:numCache>
                <c:formatCode>0.0</c:formatCode>
                <c:ptCount val="16"/>
                <c:pt idx="0">
                  <c:v>12.600000000000001</c:v>
                </c:pt>
                <c:pt idx="1">
                  <c:v>12.600000000000001</c:v>
                </c:pt>
                <c:pt idx="2">
                  <c:v>37.400000000000006</c:v>
                </c:pt>
                <c:pt idx="3">
                  <c:v>37.400000000000006</c:v>
                </c:pt>
                <c:pt idx="4">
                  <c:v>27.400000000000006</c:v>
                </c:pt>
                <c:pt idx="5">
                  <c:v>12.600000000000001</c:v>
                </c:pt>
                <c:pt idx="7">
                  <c:v>12.600000000000001</c:v>
                </c:pt>
                <c:pt idx="8">
                  <c:v>12.600000000000001</c:v>
                </c:pt>
                <c:pt idx="9">
                  <c:v>37.400000000000006</c:v>
                </c:pt>
                <c:pt idx="10">
                  <c:v>37.400000000000006</c:v>
                </c:pt>
                <c:pt idx="11">
                  <c:v>27.400000000000006</c:v>
                </c:pt>
                <c:pt idx="12">
                  <c:v>12.600000000000001</c:v>
                </c:pt>
                <c:pt idx="14">
                  <c:v>27.400000000000006</c:v>
                </c:pt>
                <c:pt idx="15">
                  <c:v>27.400000000000006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07-475C-B04E-E376ACD34D65}"/>
            </c:ext>
          </c:extLst>
        </c:ser>
        <c:ser>
          <c:idx val="2"/>
          <c:order val="3"/>
          <c:tx>
            <c:v>Adv Centerline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noFill/>
                <a:prstDash val="solid"/>
              </a:ln>
            </c:spPr>
          </c:marker>
          <c:xVal>
            <c:numRef>
              <c:f>Path!$J$16:$J$153</c:f>
              <c:numCache>
                <c:formatCode>0.0</c:formatCode>
                <c:ptCount val="138"/>
                <c:pt idx="0">
                  <c:v>72.7</c:v>
                </c:pt>
                <c:pt idx="1">
                  <c:v>72.7</c:v>
                </c:pt>
                <c:pt idx="2">
                  <c:v>72.7</c:v>
                </c:pt>
                <c:pt idx="3">
                  <c:v>85.925000000000011</c:v>
                </c:pt>
                <c:pt idx="4">
                  <c:v>85.925000000000011</c:v>
                </c:pt>
                <c:pt idx="5">
                  <c:v>85.925000000000011</c:v>
                </c:pt>
                <c:pt idx="6">
                  <c:v>99.15</c:v>
                </c:pt>
                <c:pt idx="7">
                  <c:v>99.15</c:v>
                </c:pt>
                <c:pt idx="8">
                  <c:v>99.15</c:v>
                </c:pt>
                <c:pt idx="9">
                  <c:v>101.35000000000001</c:v>
                </c:pt>
                <c:pt idx="10">
                  <c:v>101.35000000000001</c:v>
                </c:pt>
                <c:pt idx="11">
                  <c:v>101.35000000000001</c:v>
                </c:pt>
                <c:pt idx="12">
                  <c:v>103.55000000000001</c:v>
                </c:pt>
                <c:pt idx="13">
                  <c:v>103.55000000000001</c:v>
                </c:pt>
                <c:pt idx="14">
                  <c:v>103.55000000000001</c:v>
                </c:pt>
                <c:pt idx="15">
                  <c:v>103.55000000000001</c:v>
                </c:pt>
                <c:pt idx="16">
                  <c:v>103.55000000000001</c:v>
                </c:pt>
                <c:pt idx="17">
                  <c:v>103.55000000000001</c:v>
                </c:pt>
                <c:pt idx="18">
                  <c:v>103.55000000000001</c:v>
                </c:pt>
                <c:pt idx="19">
                  <c:v>103.55000000000001</c:v>
                </c:pt>
                <c:pt idx="20">
                  <c:v>103.55000000000001</c:v>
                </c:pt>
                <c:pt idx="21">
                  <c:v>103.55000000000001</c:v>
                </c:pt>
                <c:pt idx="22">
                  <c:v>103.55000000000001</c:v>
                </c:pt>
                <c:pt idx="23">
                  <c:v>103.55000000000001</c:v>
                </c:pt>
                <c:pt idx="24">
                  <c:v>105.75</c:v>
                </c:pt>
                <c:pt idx="25">
                  <c:v>105.75</c:v>
                </c:pt>
                <c:pt idx="26">
                  <c:v>105.75</c:v>
                </c:pt>
                <c:pt idx="27">
                  <c:v>107.95</c:v>
                </c:pt>
                <c:pt idx="28">
                  <c:v>107.95</c:v>
                </c:pt>
                <c:pt idx="29">
                  <c:v>107.95</c:v>
                </c:pt>
                <c:pt idx="30">
                  <c:v>109.85000000000001</c:v>
                </c:pt>
                <c:pt idx="31">
                  <c:v>109.85000000000001</c:v>
                </c:pt>
                <c:pt idx="32">
                  <c:v>109.85000000000001</c:v>
                </c:pt>
                <c:pt idx="33">
                  <c:v>111.88213970555735</c:v>
                </c:pt>
                <c:pt idx="34">
                  <c:v>111.88213970555735</c:v>
                </c:pt>
                <c:pt idx="35">
                  <c:v>111.88213970555735</c:v>
                </c:pt>
                <c:pt idx="36">
                  <c:v>114.08045145683354</c:v>
                </c:pt>
                <c:pt idx="37">
                  <c:v>114.08045145683354</c:v>
                </c:pt>
                <c:pt idx="38">
                  <c:v>114.08045145683354</c:v>
                </c:pt>
                <c:pt idx="39">
                  <c:v>114.24662350255238</c:v>
                </c:pt>
                <c:pt idx="40">
                  <c:v>114.24662350255238</c:v>
                </c:pt>
                <c:pt idx="41">
                  <c:v>114.24662350255238</c:v>
                </c:pt>
                <c:pt idx="42">
                  <c:v>116.77740328668355</c:v>
                </c:pt>
                <c:pt idx="43">
                  <c:v>116.77740328668355</c:v>
                </c:pt>
                <c:pt idx="44">
                  <c:v>116.77740328668355</c:v>
                </c:pt>
                <c:pt idx="45">
                  <c:v>116.77740328668355</c:v>
                </c:pt>
                <c:pt idx="46">
                  <c:v>116.77740328668355</c:v>
                </c:pt>
                <c:pt idx="47">
                  <c:v>116.77740328668355</c:v>
                </c:pt>
                <c:pt idx="48">
                  <c:v>120.38636406107355</c:v>
                </c:pt>
                <c:pt idx="49">
                  <c:v>120.38636406107355</c:v>
                </c:pt>
                <c:pt idx="50">
                  <c:v>120.38636406107355</c:v>
                </c:pt>
                <c:pt idx="51">
                  <c:v>123.99532483546355</c:v>
                </c:pt>
                <c:pt idx="52">
                  <c:v>123.99532483546355</c:v>
                </c:pt>
                <c:pt idx="53">
                  <c:v>123.99532483546355</c:v>
                </c:pt>
                <c:pt idx="54">
                  <c:v>125.89240684064309</c:v>
                </c:pt>
                <c:pt idx="55">
                  <c:v>125.89240684064309</c:v>
                </c:pt>
                <c:pt idx="56">
                  <c:v>125.89240684064309</c:v>
                </c:pt>
                <c:pt idx="57">
                  <c:v>129.74594606625311</c:v>
                </c:pt>
                <c:pt idx="58">
                  <c:v>129.74594606625311</c:v>
                </c:pt>
                <c:pt idx="59">
                  <c:v>129.74594606625311</c:v>
                </c:pt>
                <c:pt idx="60">
                  <c:v>133.59948529186309</c:v>
                </c:pt>
                <c:pt idx="61">
                  <c:v>133.59948529186309</c:v>
                </c:pt>
                <c:pt idx="62">
                  <c:v>133.59948529186309</c:v>
                </c:pt>
                <c:pt idx="63">
                  <c:v>133.59948529186309</c:v>
                </c:pt>
                <c:pt idx="64">
                  <c:v>133.59948529186309</c:v>
                </c:pt>
                <c:pt idx="65">
                  <c:v>133.59948529186309</c:v>
                </c:pt>
                <c:pt idx="66">
                  <c:v>130.70138331898386</c:v>
                </c:pt>
                <c:pt idx="67">
                  <c:v>130.70138331898386</c:v>
                </c:pt>
                <c:pt idx="68">
                  <c:v>130.70138331898386</c:v>
                </c:pt>
                <c:pt idx="72">
                  <c:v>71.75</c:v>
                </c:pt>
                <c:pt idx="73">
                  <c:v>71.75</c:v>
                </c:pt>
                <c:pt idx="74">
                  <c:v>71.75</c:v>
                </c:pt>
                <c:pt idx="75">
                  <c:v>71.75</c:v>
                </c:pt>
                <c:pt idx="76">
                  <c:v>71.75</c:v>
                </c:pt>
                <c:pt idx="77">
                  <c:v>71.75</c:v>
                </c:pt>
              </c:numCache>
            </c:numRef>
          </c:xVal>
          <c:yVal>
            <c:numRef>
              <c:f>Path!$K$16:$K$153</c:f>
              <c:numCache>
                <c:formatCode>0.0</c:formatCode>
                <c:ptCount val="138"/>
                <c:pt idx="0">
                  <c:v>6.3000000000000007</c:v>
                </c:pt>
                <c:pt idx="1">
                  <c:v>6.3000000000000007</c:v>
                </c:pt>
                <c:pt idx="2">
                  <c:v>6.3000000000000007</c:v>
                </c:pt>
                <c:pt idx="3">
                  <c:v>6.3000000000000007</c:v>
                </c:pt>
                <c:pt idx="4">
                  <c:v>6.3000000000000007</c:v>
                </c:pt>
                <c:pt idx="5">
                  <c:v>6.3000000000000007</c:v>
                </c:pt>
                <c:pt idx="6">
                  <c:v>6.3000000000000007</c:v>
                </c:pt>
                <c:pt idx="7">
                  <c:v>6.3000000000000007</c:v>
                </c:pt>
                <c:pt idx="8">
                  <c:v>6.3000000000000007</c:v>
                </c:pt>
                <c:pt idx="9">
                  <c:v>6.3000000000000007</c:v>
                </c:pt>
                <c:pt idx="10">
                  <c:v>6.3000000000000007</c:v>
                </c:pt>
                <c:pt idx="11">
                  <c:v>6.3000000000000007</c:v>
                </c:pt>
                <c:pt idx="12">
                  <c:v>8.5</c:v>
                </c:pt>
                <c:pt idx="13">
                  <c:v>8.5</c:v>
                </c:pt>
                <c:pt idx="14">
                  <c:v>8.5</c:v>
                </c:pt>
                <c:pt idx="15">
                  <c:v>10.700000000000001</c:v>
                </c:pt>
                <c:pt idx="16">
                  <c:v>10.700000000000001</c:v>
                </c:pt>
                <c:pt idx="17">
                  <c:v>10.700000000000001</c:v>
                </c:pt>
                <c:pt idx="18">
                  <c:v>80.8</c:v>
                </c:pt>
                <c:pt idx="19">
                  <c:v>80.8</c:v>
                </c:pt>
                <c:pt idx="20">
                  <c:v>80.8</c:v>
                </c:pt>
                <c:pt idx="21">
                  <c:v>83</c:v>
                </c:pt>
                <c:pt idx="22">
                  <c:v>83</c:v>
                </c:pt>
                <c:pt idx="23">
                  <c:v>83</c:v>
                </c:pt>
                <c:pt idx="24">
                  <c:v>85.199999999999989</c:v>
                </c:pt>
                <c:pt idx="25">
                  <c:v>85.199999999999989</c:v>
                </c:pt>
                <c:pt idx="26">
                  <c:v>85.199999999999989</c:v>
                </c:pt>
                <c:pt idx="27">
                  <c:v>85.199999999999989</c:v>
                </c:pt>
                <c:pt idx="28">
                  <c:v>85.199999999999989</c:v>
                </c:pt>
                <c:pt idx="29">
                  <c:v>85.199999999999989</c:v>
                </c:pt>
                <c:pt idx="30">
                  <c:v>85.199999999999989</c:v>
                </c:pt>
                <c:pt idx="31">
                  <c:v>85.199999999999989</c:v>
                </c:pt>
                <c:pt idx="32">
                  <c:v>85.199999999999989</c:v>
                </c:pt>
                <c:pt idx="33">
                  <c:v>85.199999999999989</c:v>
                </c:pt>
                <c:pt idx="34">
                  <c:v>85.199999999999989</c:v>
                </c:pt>
                <c:pt idx="35">
                  <c:v>85.199999999999989</c:v>
                </c:pt>
                <c:pt idx="36">
                  <c:v>83</c:v>
                </c:pt>
                <c:pt idx="37">
                  <c:v>83</c:v>
                </c:pt>
                <c:pt idx="38">
                  <c:v>83</c:v>
                </c:pt>
                <c:pt idx="39">
                  <c:v>80.972432245245074</c:v>
                </c:pt>
                <c:pt idx="40">
                  <c:v>80.972432245245074</c:v>
                </c:pt>
                <c:pt idx="41">
                  <c:v>80.972432245245074</c:v>
                </c:pt>
                <c:pt idx="42">
                  <c:v>16.443400202053155</c:v>
                </c:pt>
                <c:pt idx="43">
                  <c:v>16.443400202053155</c:v>
                </c:pt>
                <c:pt idx="44">
                  <c:v>16.443400202053155</c:v>
                </c:pt>
                <c:pt idx="45">
                  <c:v>12.875472029644005</c:v>
                </c:pt>
                <c:pt idx="46">
                  <c:v>12.875472029644005</c:v>
                </c:pt>
                <c:pt idx="47">
                  <c:v>12.875472029644005</c:v>
                </c:pt>
                <c:pt idx="48">
                  <c:v>9.307543857234851</c:v>
                </c:pt>
                <c:pt idx="49">
                  <c:v>9.307543857234851</c:v>
                </c:pt>
                <c:pt idx="50">
                  <c:v>9.307543857234851</c:v>
                </c:pt>
                <c:pt idx="51">
                  <c:v>9.307543857234851</c:v>
                </c:pt>
                <c:pt idx="52">
                  <c:v>9.307543857234851</c:v>
                </c:pt>
                <c:pt idx="53">
                  <c:v>9.307543857234851</c:v>
                </c:pt>
                <c:pt idx="54">
                  <c:v>9.3819459772656284</c:v>
                </c:pt>
                <c:pt idx="55">
                  <c:v>9.3819459772656284</c:v>
                </c:pt>
                <c:pt idx="56">
                  <c:v>9.3819459772656284</c:v>
                </c:pt>
                <c:pt idx="57">
                  <c:v>9.3819459772656284</c:v>
                </c:pt>
                <c:pt idx="58">
                  <c:v>9.3819459772656284</c:v>
                </c:pt>
                <c:pt idx="59">
                  <c:v>9.3819459772656284</c:v>
                </c:pt>
                <c:pt idx="60">
                  <c:v>13.27980603087444</c:v>
                </c:pt>
                <c:pt idx="61">
                  <c:v>13.27980603087444</c:v>
                </c:pt>
                <c:pt idx="62">
                  <c:v>13.27980603087444</c:v>
                </c:pt>
                <c:pt idx="63">
                  <c:v>17.177666084483249</c:v>
                </c:pt>
                <c:pt idx="64">
                  <c:v>17.177666084483249</c:v>
                </c:pt>
                <c:pt idx="65">
                  <c:v>17.177666084483249</c:v>
                </c:pt>
                <c:pt idx="66">
                  <c:v>91.072564504720162</c:v>
                </c:pt>
                <c:pt idx="67">
                  <c:v>91.072564504720162</c:v>
                </c:pt>
                <c:pt idx="68">
                  <c:v>91.072564504720162</c:v>
                </c:pt>
                <c:pt idx="72">
                  <c:v>12.600000000000001</c:v>
                </c:pt>
                <c:pt idx="73">
                  <c:v>12.600000000000001</c:v>
                </c:pt>
                <c:pt idx="74">
                  <c:v>12.600000000000001</c:v>
                </c:pt>
                <c:pt idx="75">
                  <c:v>91.5</c:v>
                </c:pt>
                <c:pt idx="76">
                  <c:v>91.5</c:v>
                </c:pt>
                <c:pt idx="77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307-475C-B04E-E376ACD34D65}"/>
            </c:ext>
          </c:extLst>
        </c:ser>
        <c:ser>
          <c:idx val="0"/>
          <c:order val="4"/>
          <c:tx>
            <c:v>Axes</c:v>
          </c:tx>
          <c:spPr>
            <a:ln w="0"/>
          </c:spPr>
          <c:marker>
            <c:symbol val="none"/>
          </c:marker>
          <c:xVal>
            <c:numRef>
              <c:f>Panels!$F$96:$F$100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143.5</c:v>
                </c:pt>
              </c:numCache>
            </c:numRef>
          </c:xVal>
          <c:yVal>
            <c:numRef>
              <c:f>Panels!$G$96:$G$100</c:f>
              <c:numCache>
                <c:formatCode>0.0</c:formatCode>
                <c:ptCount val="5"/>
                <c:pt idx="0">
                  <c:v>0</c:v>
                </c:pt>
                <c:pt idx="1">
                  <c:v>143.5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307-475C-B04E-E376ACD34D65}"/>
            </c:ext>
          </c:extLst>
        </c:ser>
        <c:ser>
          <c:idx val="3"/>
          <c:order val="5"/>
          <c:tx>
            <c:v>Center</c:v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xVal>
            <c:numRef>
              <c:f>Panels!$F$93:$F$94</c:f>
              <c:numCache>
                <c:formatCode>0.0</c:formatCode>
                <c:ptCount val="2"/>
                <c:pt idx="0">
                  <c:v>71.75</c:v>
                </c:pt>
                <c:pt idx="1">
                  <c:v>71.75</c:v>
                </c:pt>
              </c:numCache>
            </c:numRef>
          </c:xVal>
          <c:yVal>
            <c:numRef>
              <c:f>Panels!$G$93:$G$94</c:f>
              <c:numCache>
                <c:formatCode>0.0</c:formatCode>
                <c:ptCount val="2"/>
                <c:pt idx="0">
                  <c:v>12.600000000000001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307-475C-B04E-E376ACD34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902424"/>
        <c:axId val="1"/>
      </c:scatterChart>
      <c:valAx>
        <c:axId val="31990242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Width</a:t>
                </a:r>
              </a:p>
            </c:rich>
          </c:tx>
          <c:layout>
            <c:manualLayout>
              <c:xMode val="edge"/>
              <c:yMode val="edge"/>
              <c:x val="0.51388980023330422"/>
              <c:y val="0.935368043087971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029"/>
                  <a:t>Depth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423698384201077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9902424"/>
        <c:crosses val="autoZero"/>
        <c:crossBetween val="midCat"/>
      </c:valAx>
      <c:spPr>
        <a:noFill/>
        <a:ln w="12700">
          <a:solidFill>
            <a:srgbClr val="000000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38</xdr:row>
      <xdr:rowOff>85725</xdr:rowOff>
    </xdr:from>
    <xdr:to>
      <xdr:col>29</xdr:col>
      <xdr:colOff>28575</xdr:colOff>
      <xdr:row>62</xdr:row>
      <xdr:rowOff>57150</xdr:rowOff>
    </xdr:to>
    <xdr:graphicFrame macro="">
      <xdr:nvGraphicFramePr>
        <xdr:cNvPr id="11305" name="Chart 5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9525</xdr:colOff>
      <xdr:row>3</xdr:row>
      <xdr:rowOff>0</xdr:rowOff>
    </xdr:from>
    <xdr:to>
      <xdr:col>29</xdr:col>
      <xdr:colOff>19050</xdr:colOff>
      <xdr:row>38</xdr:row>
      <xdr:rowOff>19050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50</xdr:row>
          <xdr:rowOff>104775</xdr:rowOff>
        </xdr:from>
        <xdr:to>
          <xdr:col>12</xdr:col>
          <xdr:colOff>819150</xdr:colOff>
          <xdr:row>53</xdr:row>
          <xdr:rowOff>85725</xdr:rowOff>
        </xdr:to>
        <xdr:sp macro="" textlink="">
          <xdr:nvSpPr>
            <xdr:cNvPr id="11323" name="Button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0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47625</xdr:rowOff>
        </xdr:from>
        <xdr:to>
          <xdr:col>13</xdr:col>
          <xdr:colOff>19050</xdr:colOff>
          <xdr:row>26</xdr:row>
          <xdr:rowOff>76200</xdr:rowOff>
        </xdr:to>
        <xdr:sp macro="" textlink="">
          <xdr:nvSpPr>
            <xdr:cNvPr id="11324" name="Button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0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Optimize!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55</xdr:row>
          <xdr:rowOff>28575</xdr:rowOff>
        </xdr:from>
        <xdr:to>
          <xdr:col>12</xdr:col>
          <xdr:colOff>819150</xdr:colOff>
          <xdr:row>57</xdr:row>
          <xdr:rowOff>114300</xdr:rowOff>
        </xdr:to>
        <xdr:sp macro="" textlink="">
          <xdr:nvSpPr>
            <xdr:cNvPr id="11325" name="Button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724551ED-048A-4664-ABBE-AFEE674DD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029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Lossy Le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57151</xdr:colOff>
      <xdr:row>39</xdr:row>
      <xdr:rowOff>19050</xdr:rowOff>
    </xdr:from>
    <xdr:to>
      <xdr:col>23</xdr:col>
      <xdr:colOff>504825</xdr:colOff>
      <xdr:row>71</xdr:row>
      <xdr:rowOff>95250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107</xdr:row>
      <xdr:rowOff>0</xdr:rowOff>
    </xdr:from>
    <xdr:to>
      <xdr:col>25</xdr:col>
      <xdr:colOff>0</xdr:colOff>
      <xdr:row>142</xdr:row>
      <xdr:rowOff>47625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93</xdr:row>
      <xdr:rowOff>9525</xdr:rowOff>
    </xdr:from>
    <xdr:to>
      <xdr:col>36</xdr:col>
      <xdr:colOff>47625</xdr:colOff>
      <xdr:row>128</xdr:row>
      <xdr:rowOff>19050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590549</xdr:colOff>
      <xdr:row>59</xdr:row>
      <xdr:rowOff>142874</xdr:rowOff>
    </xdr:from>
    <xdr:to>
      <xdr:col>33</xdr:col>
      <xdr:colOff>600075</xdr:colOff>
      <xdr:row>107</xdr:row>
      <xdr:rowOff>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Brian.Steele\OneDrive\Documents\diyaudio\boxplan\boxplan-th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"/>
      <sheetName val="Panels"/>
      <sheetName val="Path"/>
      <sheetName val="Guides"/>
    </sheetNames>
    <sheetDataSet>
      <sheetData sheetId="0">
        <row r="31">
          <cell r="D31">
            <v>4.7186398786240318</v>
          </cell>
        </row>
        <row r="32">
          <cell r="D32">
            <v>10.264787968055414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345"/>
  <sheetViews>
    <sheetView showGridLines="0" tabSelected="1" workbookViewId="0">
      <selection activeCell="Q90" sqref="Q90"/>
    </sheetView>
  </sheetViews>
  <sheetFormatPr defaultRowHeight="11.25" x14ac:dyDescent="0.2"/>
  <cols>
    <col min="1" max="1" width="2.140625" style="11" bestFit="1" customWidth="1"/>
    <col min="2" max="2" width="15" style="11" bestFit="1" customWidth="1"/>
    <col min="3" max="3" width="1.85546875" style="11" bestFit="1" customWidth="1"/>
    <col min="4" max="4" width="5.85546875" style="11" bestFit="1" customWidth="1"/>
    <col min="5" max="5" width="6.140625" style="11" customWidth="1"/>
    <col min="6" max="6" width="5.7109375" style="11" customWidth="1"/>
    <col min="7" max="7" width="4.5703125" style="11" customWidth="1"/>
    <col min="8" max="8" width="5.85546875" style="11" bestFit="1" customWidth="1"/>
    <col min="9" max="9" width="5.7109375" style="11" bestFit="1" customWidth="1"/>
    <col min="10" max="10" width="6.42578125" style="11" bestFit="1" customWidth="1"/>
    <col min="11" max="11" width="5.140625" style="11" customWidth="1"/>
    <col min="12" max="12" width="9.7109375" style="11" bestFit="1" customWidth="1"/>
    <col min="13" max="13" width="12.42578125" style="11" customWidth="1"/>
    <col min="14" max="14" width="4.85546875" style="11" bestFit="1" customWidth="1"/>
    <col min="15" max="15" width="3.7109375" style="11" bestFit="1" customWidth="1"/>
    <col min="16" max="17" width="4" style="11" bestFit="1" customWidth="1"/>
    <col min="18" max="18" width="10.42578125" style="11" bestFit="1" customWidth="1"/>
    <col min="19" max="19" width="3.7109375" style="11" bestFit="1" customWidth="1"/>
    <col min="20" max="21" width="4" style="11" bestFit="1" customWidth="1"/>
    <col min="22" max="22" width="5.7109375" style="11" bestFit="1" customWidth="1"/>
    <col min="23" max="24" width="4.85546875" style="11" bestFit="1" customWidth="1"/>
    <col min="25" max="25" width="5.7109375" style="11" bestFit="1" customWidth="1"/>
    <col min="26" max="26" width="4.85546875" style="11" bestFit="1" customWidth="1"/>
    <col min="27" max="28" width="9.85546875" style="11" customWidth="1"/>
    <col min="29" max="31" width="2.5703125" style="11" customWidth="1"/>
    <col min="32" max="32" width="17.85546875" style="11" bestFit="1" customWidth="1"/>
    <col min="33" max="33" width="2.7109375" style="11" bestFit="1" customWidth="1"/>
    <col min="34" max="34" width="5.28515625" style="11" bestFit="1" customWidth="1"/>
    <col min="35" max="36" width="4" style="11" bestFit="1" customWidth="1"/>
    <col min="37" max="37" width="4.85546875" style="11" bestFit="1" customWidth="1"/>
    <col min="38" max="38" width="4" style="11" bestFit="1" customWidth="1"/>
    <col min="39" max="39" width="4.42578125" style="11" bestFit="1" customWidth="1"/>
    <col min="40" max="40" width="5.42578125" style="11" bestFit="1" customWidth="1"/>
    <col min="41" max="41" width="4.5703125" style="11" bestFit="1" customWidth="1"/>
    <col min="42" max="42" width="4.85546875" style="11" bestFit="1" customWidth="1"/>
    <col min="43" max="43" width="3" style="11" bestFit="1" customWidth="1"/>
    <col min="44" max="44" width="4" style="11" bestFit="1" customWidth="1"/>
    <col min="45" max="45" width="4.85546875" style="11" bestFit="1" customWidth="1"/>
    <col min="46" max="47" width="4.42578125" style="11" bestFit="1" customWidth="1"/>
    <col min="48" max="48" width="5" style="11" bestFit="1" customWidth="1"/>
    <col min="49" max="49" width="2" style="11" bestFit="1" customWidth="1"/>
    <col min="50" max="50" width="4.42578125" style="11" bestFit="1" customWidth="1"/>
    <col min="51" max="51" width="5" style="11" bestFit="1" customWidth="1"/>
    <col min="52" max="52" width="3.7109375" style="11" bestFit="1" customWidth="1"/>
    <col min="53" max="16384" width="9.140625" style="11"/>
  </cols>
  <sheetData>
    <row r="1" spans="2:12" x14ac:dyDescent="0.2">
      <c r="B1" s="10" t="s">
        <v>64</v>
      </c>
      <c r="C1" s="10" t="s">
        <v>0</v>
      </c>
      <c r="D1" s="10">
        <v>0.4</v>
      </c>
    </row>
    <row r="3" spans="2:12" ht="12" thickBot="1" x14ac:dyDescent="0.25">
      <c r="B3" s="10" t="s">
        <v>30</v>
      </c>
    </row>
    <row r="4" spans="2:12" ht="12" thickBot="1" x14ac:dyDescent="0.25">
      <c r="B4" s="16" t="s">
        <v>33</v>
      </c>
      <c r="C4" s="17" t="s">
        <v>0</v>
      </c>
      <c r="D4" s="206">
        <v>46</v>
      </c>
      <c r="E4" s="11" t="s">
        <v>31</v>
      </c>
      <c r="F4" s="137">
        <f>D4/2.54</f>
        <v>18.110236220472441</v>
      </c>
      <c r="G4" s="11" t="s">
        <v>65</v>
      </c>
      <c r="I4" s="18"/>
      <c r="J4" s="19" t="s">
        <v>36</v>
      </c>
      <c r="K4" s="19"/>
      <c r="L4" s="20"/>
    </row>
    <row r="5" spans="2:12" ht="13.5" thickBot="1" x14ac:dyDescent="0.25">
      <c r="B5" s="16" t="s">
        <v>38</v>
      </c>
      <c r="C5" s="17" t="s">
        <v>0</v>
      </c>
      <c r="D5" s="206">
        <v>42.2</v>
      </c>
      <c r="E5" s="11" t="s">
        <v>31</v>
      </c>
      <c r="F5" s="137">
        <f t="shared" ref="F5:F8" si="0">D5/2.54</f>
        <v>16.614173228346459</v>
      </c>
      <c r="G5" s="11" t="s">
        <v>65</v>
      </c>
      <c r="I5" s="186" t="s">
        <v>3</v>
      </c>
      <c r="J5" s="210" t="s">
        <v>29</v>
      </c>
      <c r="K5" s="211"/>
      <c r="L5" s="212"/>
    </row>
    <row r="6" spans="2:12" ht="13.5" thickBot="1" x14ac:dyDescent="0.25">
      <c r="B6" s="16" t="s">
        <v>45</v>
      </c>
      <c r="C6" s="17" t="s">
        <v>0</v>
      </c>
      <c r="D6" s="207">
        <v>24.8</v>
      </c>
      <c r="E6" s="11" t="s">
        <v>31</v>
      </c>
      <c r="F6" s="137">
        <f t="shared" si="0"/>
        <v>9.7637795275590555</v>
      </c>
      <c r="G6" s="11" t="s">
        <v>65</v>
      </c>
      <c r="I6" s="187" t="s">
        <v>3</v>
      </c>
      <c r="J6" s="219" t="s">
        <v>72</v>
      </c>
      <c r="K6" s="220"/>
      <c r="L6" s="220"/>
    </row>
    <row r="7" spans="2:12" ht="13.5" thickBot="1" x14ac:dyDescent="0.25">
      <c r="B7" s="16" t="s">
        <v>34</v>
      </c>
      <c r="C7" s="17" t="s">
        <v>0</v>
      </c>
      <c r="D7" s="206">
        <v>15</v>
      </c>
      <c r="E7" s="11" t="s">
        <v>31</v>
      </c>
      <c r="F7" s="137">
        <f t="shared" si="0"/>
        <v>5.9055118110236222</v>
      </c>
      <c r="G7" s="11" t="s">
        <v>65</v>
      </c>
      <c r="I7" s="30" t="s">
        <v>3</v>
      </c>
      <c r="J7" s="213" t="s">
        <v>30</v>
      </c>
      <c r="K7" s="214"/>
      <c r="L7" s="214"/>
    </row>
    <row r="8" spans="2:12" ht="12" thickBot="1" x14ac:dyDescent="0.25">
      <c r="B8" s="37" t="s">
        <v>35</v>
      </c>
      <c r="C8" s="38" t="s">
        <v>0</v>
      </c>
      <c r="D8" s="208">
        <v>10</v>
      </c>
      <c r="E8" s="11" t="s">
        <v>31</v>
      </c>
      <c r="F8" s="137">
        <f t="shared" si="0"/>
        <v>3.9370078740157481</v>
      </c>
      <c r="G8" s="11" t="s">
        <v>65</v>
      </c>
    </row>
    <row r="9" spans="2:12" ht="12" thickBot="1" x14ac:dyDescent="0.25"/>
    <row r="10" spans="2:12" ht="12" thickBot="1" x14ac:dyDescent="0.25">
      <c r="B10" s="10" t="s">
        <v>78</v>
      </c>
      <c r="I10" s="39"/>
      <c r="J10" s="40" t="s">
        <v>36</v>
      </c>
      <c r="K10" s="40"/>
      <c r="L10" s="41"/>
    </row>
    <row r="11" spans="2:12" ht="13.5" thickBot="1" x14ac:dyDescent="0.25">
      <c r="B11" s="16" t="s">
        <v>19</v>
      </c>
      <c r="C11" s="17" t="s">
        <v>0</v>
      </c>
      <c r="D11" s="185">
        <f>Path!D7</f>
        <v>1006.7200000000001</v>
      </c>
      <c r="E11" s="11" t="s">
        <v>25</v>
      </c>
      <c r="F11" s="124">
        <f>D11/2.54^2</f>
        <v>156.0419120838242</v>
      </c>
      <c r="G11" s="11" t="s">
        <v>66</v>
      </c>
      <c r="I11" s="186" t="s">
        <v>3</v>
      </c>
      <c r="J11" s="215" t="s">
        <v>39</v>
      </c>
      <c r="K11" s="211"/>
      <c r="L11" s="212"/>
    </row>
    <row r="12" spans="2:12" ht="13.5" thickBot="1" x14ac:dyDescent="0.25">
      <c r="B12" s="16" t="s">
        <v>53</v>
      </c>
      <c r="C12" s="17" t="s">
        <v>0</v>
      </c>
      <c r="D12" s="185">
        <f>Path!D8</f>
        <v>1006.7208086619752</v>
      </c>
      <c r="E12" s="11" t="s">
        <v>25</v>
      </c>
      <c r="F12" s="124">
        <f t="shared" ref="F12" si="1">D12/2.54^2</f>
        <v>156.04203742668102</v>
      </c>
      <c r="G12" s="11" t="s">
        <v>66</v>
      </c>
      <c r="I12" s="187" t="s">
        <v>3</v>
      </c>
      <c r="J12" s="224" t="s">
        <v>116</v>
      </c>
      <c r="K12" s="217"/>
      <c r="L12" s="218"/>
    </row>
    <row r="13" spans="2:12" ht="13.5" thickBot="1" x14ac:dyDescent="0.25">
      <c r="B13" s="16" t="s">
        <v>73</v>
      </c>
      <c r="C13" s="17" t="s">
        <v>0</v>
      </c>
      <c r="D13" s="185">
        <f>Path!D9</f>
        <v>2495.5205266131943</v>
      </c>
      <c r="E13" s="11" t="s">
        <v>25</v>
      </c>
      <c r="F13" s="124">
        <f t="shared" ref="F13" si="2">D13/2.54^2</f>
        <v>386.80645523795562</v>
      </c>
      <c r="G13" s="11" t="s">
        <v>66</v>
      </c>
      <c r="I13" s="187" t="s">
        <v>3</v>
      </c>
      <c r="J13" s="216" t="s">
        <v>40</v>
      </c>
      <c r="K13" s="217"/>
      <c r="L13" s="218"/>
    </row>
    <row r="14" spans="2:12" ht="13.5" thickBot="1" x14ac:dyDescent="0.25">
      <c r="I14" s="187" t="s">
        <v>3</v>
      </c>
      <c r="J14" s="216" t="s">
        <v>41</v>
      </c>
      <c r="K14" s="217"/>
      <c r="L14" s="218"/>
    </row>
    <row r="15" spans="2:12" ht="13.5" thickBot="1" x14ac:dyDescent="0.25">
      <c r="B15" s="2" t="s">
        <v>75</v>
      </c>
      <c r="C15" s="17" t="s">
        <v>0</v>
      </c>
      <c r="D15" s="185">
        <f>Path!D11</f>
        <v>2917.2</v>
      </c>
      <c r="E15" s="11" t="s">
        <v>25</v>
      </c>
      <c r="F15" s="124">
        <f>D15/2.54^2</f>
        <v>452.16690433380865</v>
      </c>
      <c r="G15" s="11" t="s">
        <v>66</v>
      </c>
      <c r="H15" s="12"/>
      <c r="I15" s="187" t="s">
        <v>3</v>
      </c>
      <c r="J15" s="216" t="s">
        <v>48</v>
      </c>
      <c r="K15" s="217"/>
      <c r="L15" s="218"/>
    </row>
    <row r="16" spans="2:12" ht="13.5" thickBot="1" x14ac:dyDescent="0.25">
      <c r="B16" s="2" t="s">
        <v>127</v>
      </c>
      <c r="C16" s="17" t="s">
        <v>0</v>
      </c>
      <c r="D16" s="185">
        <f>Path!D12</f>
        <v>2917.2</v>
      </c>
      <c r="E16" s="11" t="s">
        <v>25</v>
      </c>
      <c r="F16" s="124">
        <f>D16/2.54^2</f>
        <v>452.16690433380865</v>
      </c>
      <c r="G16" s="11" t="s">
        <v>66</v>
      </c>
      <c r="I16" s="21" t="s">
        <v>3</v>
      </c>
      <c r="J16" s="216" t="s">
        <v>71</v>
      </c>
      <c r="K16" s="217"/>
      <c r="L16" s="218"/>
    </row>
    <row r="17" spans="2:13" ht="13.5" thickBot="1" x14ac:dyDescent="0.25">
      <c r="B17" s="37" t="s">
        <v>32</v>
      </c>
      <c r="C17" s="38" t="s">
        <v>0</v>
      </c>
      <c r="D17" s="180">
        <f>Path!G8</f>
        <v>120.64912145963081</v>
      </c>
      <c r="E17" s="11" t="s">
        <v>31</v>
      </c>
      <c r="F17" s="137">
        <f t="shared" ref="F17" si="3">D17/2.54</f>
        <v>47.49965411796488</v>
      </c>
      <c r="G17" s="11" t="s">
        <v>65</v>
      </c>
      <c r="I17" s="187" t="s">
        <v>3</v>
      </c>
      <c r="J17" s="216" t="s">
        <v>42</v>
      </c>
      <c r="K17" s="217"/>
      <c r="L17" s="218"/>
    </row>
    <row r="18" spans="2:13" ht="13.5" thickBot="1" x14ac:dyDescent="0.25">
      <c r="B18" s="16" t="s">
        <v>79</v>
      </c>
      <c r="C18" s="17" t="s">
        <v>0</v>
      </c>
      <c r="D18" s="47">
        <f>Path!G9</f>
        <v>165.91324291552894</v>
      </c>
      <c r="E18" s="11" t="s">
        <v>31</v>
      </c>
      <c r="F18" s="137">
        <f t="shared" ref="F18" si="4">D18/2.54</f>
        <v>65.320174376192497</v>
      </c>
      <c r="G18" s="11" t="s">
        <v>65</v>
      </c>
      <c r="I18" s="187" t="s">
        <v>3</v>
      </c>
      <c r="J18" s="216" t="s">
        <v>43</v>
      </c>
      <c r="K18" s="217"/>
      <c r="L18" s="218"/>
    </row>
    <row r="19" spans="2:13" ht="13.5" thickBot="1" x14ac:dyDescent="0.25">
      <c r="B19" s="16" t="s">
        <v>81</v>
      </c>
      <c r="C19" s="17" t="s">
        <v>0</v>
      </c>
      <c r="D19" s="47">
        <f>Path!G12</f>
        <v>78.900000000000006</v>
      </c>
      <c r="E19" s="11" t="s">
        <v>31</v>
      </c>
      <c r="F19" s="137">
        <f t="shared" ref="F19" si="5">D19/2.54</f>
        <v>31.062992125984255</v>
      </c>
      <c r="G19" s="11" t="s">
        <v>65</v>
      </c>
      <c r="I19" s="188" t="s">
        <v>3</v>
      </c>
      <c r="J19" s="201" t="s">
        <v>44</v>
      </c>
      <c r="K19" s="202"/>
      <c r="L19" s="203"/>
    </row>
    <row r="20" spans="2:13" ht="12" thickBot="1" x14ac:dyDescent="0.25"/>
    <row r="21" spans="2:13" ht="12" thickBot="1" x14ac:dyDescent="0.25">
      <c r="B21" s="16" t="s">
        <v>59</v>
      </c>
      <c r="C21" s="17" t="s">
        <v>0</v>
      </c>
      <c r="D21" s="206">
        <v>91.5</v>
      </c>
      <c r="E21" s="11" t="s">
        <v>31</v>
      </c>
      <c r="F21" s="137">
        <f>D21/2.54</f>
        <v>36.023622047244096</v>
      </c>
      <c r="G21" s="11" t="s">
        <v>65</v>
      </c>
    </row>
    <row r="22" spans="2:13" ht="12" thickBot="1" x14ac:dyDescent="0.25">
      <c r="B22" s="48" t="s">
        <v>60</v>
      </c>
      <c r="C22" s="49" t="s">
        <v>0</v>
      </c>
      <c r="D22" s="209">
        <v>61</v>
      </c>
      <c r="E22" s="11" t="s">
        <v>31</v>
      </c>
      <c r="F22" s="137">
        <f>D22/2.54</f>
        <v>24.015748031496063</v>
      </c>
      <c r="G22" s="11" t="s">
        <v>65</v>
      </c>
    </row>
    <row r="23" spans="2:13" ht="12" thickBot="1" x14ac:dyDescent="0.25">
      <c r="B23" s="16" t="s">
        <v>61</v>
      </c>
      <c r="C23" s="50" t="s">
        <v>0</v>
      </c>
      <c r="D23" s="206">
        <v>143.5</v>
      </c>
      <c r="E23" s="51" t="s">
        <v>31</v>
      </c>
      <c r="F23" s="137">
        <f>D23/2.54</f>
        <v>56.496062992125985</v>
      </c>
      <c r="G23" s="11" t="s">
        <v>65</v>
      </c>
    </row>
    <row r="24" spans="2:13" ht="12" thickBot="1" x14ac:dyDescent="0.25">
      <c r="F24" s="12"/>
    </row>
    <row r="25" spans="2:13" ht="12" thickBot="1" x14ac:dyDescent="0.25">
      <c r="B25" s="16" t="s">
        <v>62</v>
      </c>
      <c r="C25" s="17" t="s">
        <v>0</v>
      </c>
      <c r="D25" s="47">
        <f>D23-2*D28</f>
        <v>139.69999999999999</v>
      </c>
      <c r="E25" s="11" t="s">
        <v>31</v>
      </c>
      <c r="F25" s="137">
        <f t="shared" ref="F25:F26" si="6">D25/2.54</f>
        <v>54.999999999999993</v>
      </c>
      <c r="G25" s="11" t="s">
        <v>65</v>
      </c>
    </row>
    <row r="26" spans="2:13" ht="12" thickBot="1" x14ac:dyDescent="0.25">
      <c r="B26" s="52" t="s">
        <v>58</v>
      </c>
      <c r="C26" s="53" t="s">
        <v>0</v>
      </c>
      <c r="D26" s="54">
        <f>Path!N153</f>
        <v>0</v>
      </c>
      <c r="E26" s="11" t="s">
        <v>31</v>
      </c>
      <c r="F26" s="137">
        <f t="shared" si="6"/>
        <v>0</v>
      </c>
      <c r="G26" s="11" t="s">
        <v>65</v>
      </c>
    </row>
    <row r="27" spans="2:13" ht="12" thickBot="1" x14ac:dyDescent="0.25"/>
    <row r="28" spans="2:13" ht="12" thickBot="1" x14ac:dyDescent="0.25">
      <c r="B28" s="16" t="s">
        <v>7</v>
      </c>
      <c r="C28" s="17" t="s">
        <v>0</v>
      </c>
      <c r="D28" s="206">
        <v>1.9</v>
      </c>
      <c r="E28" s="11" t="s">
        <v>31</v>
      </c>
      <c r="F28" s="137">
        <f>D28/2.54</f>
        <v>0.74803149606299213</v>
      </c>
      <c r="G28" s="11" t="s">
        <v>65</v>
      </c>
      <c r="M28" s="184">
        <f>ABS(I34)+ABS(I41)+ABS(I43)+ABS(I44)+ABS(I45)</f>
        <v>1.5928037628327729E-3</v>
      </c>
    </row>
    <row r="30" spans="2:13" x14ac:dyDescent="0.2">
      <c r="B30" s="55" t="s">
        <v>23</v>
      </c>
      <c r="C30" s="56" t="s">
        <v>0</v>
      </c>
      <c r="D30" s="57">
        <f>D31-K49</f>
        <v>654.40224498539112</v>
      </c>
      <c r="E30" s="58" t="s">
        <v>21</v>
      </c>
      <c r="F30" s="58"/>
      <c r="G30" s="58"/>
      <c r="H30" s="59">
        <f>(D30*1000/2.54^3)/1728</f>
        <v>23.109997183453018</v>
      </c>
      <c r="I30" s="60" t="s">
        <v>2</v>
      </c>
      <c r="J30" s="60"/>
      <c r="K30" s="60"/>
      <c r="L30" s="60"/>
      <c r="M30" s="61"/>
    </row>
    <row r="31" spans="2:13" x14ac:dyDescent="0.2">
      <c r="B31" s="62" t="s">
        <v>24</v>
      </c>
      <c r="C31" s="63" t="s">
        <v>0</v>
      </c>
      <c r="D31" s="64">
        <f>(D21*D22*D23)/10^3</f>
        <v>800.94524999999999</v>
      </c>
      <c r="E31" s="65" t="s">
        <v>21</v>
      </c>
      <c r="F31" s="65"/>
      <c r="G31" s="65"/>
      <c r="H31" s="66">
        <f>(D31*1000/2.54^3)/1728</f>
        <v>28.28511456590936</v>
      </c>
      <c r="I31" s="67" t="s">
        <v>2</v>
      </c>
      <c r="J31" s="67"/>
      <c r="K31" s="67"/>
      <c r="L31" s="67"/>
      <c r="M31" s="68"/>
    </row>
    <row r="32" spans="2:13" x14ac:dyDescent="0.2">
      <c r="B32" s="62" t="s">
        <v>76</v>
      </c>
      <c r="C32" s="63" t="s">
        <v>0</v>
      </c>
      <c r="D32" s="172">
        <f>D22-2*E39</f>
        <v>57.2</v>
      </c>
      <c r="E32" s="65" t="s">
        <v>31</v>
      </c>
      <c r="F32" s="65"/>
      <c r="G32" s="65"/>
      <c r="H32" s="66"/>
      <c r="I32" s="67"/>
      <c r="J32" s="67"/>
      <c r="K32" s="67"/>
      <c r="L32" s="67"/>
      <c r="M32" s="68"/>
    </row>
    <row r="33" spans="2:13" x14ac:dyDescent="0.2">
      <c r="B33" s="69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</row>
    <row r="34" spans="2:13" x14ac:dyDescent="0.2">
      <c r="B34" s="8" t="s">
        <v>69</v>
      </c>
      <c r="C34" s="65" t="s">
        <v>0</v>
      </c>
      <c r="D34" s="67"/>
      <c r="E34" s="67"/>
      <c r="F34" s="65"/>
      <c r="G34" s="67"/>
      <c r="H34" s="205">
        <v>4.4918920693090474</v>
      </c>
      <c r="I34" s="204">
        <f>Path!T81</f>
        <v>6.0703837334585842E-7</v>
      </c>
      <c r="J34" s="67"/>
      <c r="K34" s="67"/>
      <c r="L34" s="67"/>
      <c r="M34" s="68"/>
    </row>
    <row r="35" spans="2:13" x14ac:dyDescent="0.2">
      <c r="B35" s="8"/>
      <c r="C35" s="65"/>
      <c r="D35" s="67"/>
      <c r="E35" s="67"/>
      <c r="F35" s="67"/>
      <c r="G35" s="67"/>
      <c r="H35" s="67"/>
      <c r="I35" s="67"/>
      <c r="J35" s="67"/>
      <c r="K35" s="67"/>
      <c r="L35" s="67"/>
      <c r="M35" s="68"/>
    </row>
    <row r="36" spans="2:13" x14ac:dyDescent="0.2">
      <c r="B36" s="62" t="s">
        <v>8</v>
      </c>
      <c r="C36" s="63"/>
      <c r="D36" s="70" t="s">
        <v>16</v>
      </c>
      <c r="E36" s="70" t="s">
        <v>77</v>
      </c>
      <c r="F36" s="70"/>
      <c r="G36" s="70"/>
      <c r="H36" s="70" t="s">
        <v>17</v>
      </c>
      <c r="I36" s="70" t="s">
        <v>82</v>
      </c>
      <c r="J36" s="70" t="s">
        <v>9</v>
      </c>
      <c r="K36" s="70" t="s">
        <v>46</v>
      </c>
      <c r="L36" s="63" t="s">
        <v>26</v>
      </c>
      <c r="M36" s="71"/>
    </row>
    <row r="37" spans="2:13" x14ac:dyDescent="0.2">
      <c r="B37" s="62" t="str">
        <f t="shared" ref="B37:B43" si="7">J11</f>
        <v>Panel A</v>
      </c>
      <c r="C37" s="65"/>
      <c r="D37" s="72">
        <f>D22-2*D28</f>
        <v>57.2</v>
      </c>
      <c r="E37" s="72">
        <f>D28</f>
        <v>1.9</v>
      </c>
      <c r="F37" s="73"/>
      <c r="G37" s="73"/>
      <c r="H37" s="72">
        <f>Panels!K10</f>
        <v>89.6</v>
      </c>
      <c r="I37" s="74"/>
      <c r="J37" s="74">
        <v>2</v>
      </c>
      <c r="K37" s="75">
        <f>H37*D37*D28*J37/10^3</f>
        <v>19.475455999999998</v>
      </c>
      <c r="L37" s="65" t="s">
        <v>10</v>
      </c>
      <c r="M37" s="68"/>
    </row>
    <row r="38" spans="2:13" x14ac:dyDescent="0.2">
      <c r="B38" s="62" t="str">
        <f t="shared" si="7"/>
        <v>Panel B</v>
      </c>
      <c r="C38" s="65"/>
      <c r="D38" s="72">
        <f>D37</f>
        <v>57.2</v>
      </c>
      <c r="E38" s="72">
        <f>D28</f>
        <v>1.9</v>
      </c>
      <c r="F38" s="73"/>
      <c r="G38" s="73"/>
      <c r="H38" s="205">
        <v>8.8000000000000007</v>
      </c>
      <c r="I38" s="181"/>
      <c r="J38" s="74">
        <v>1</v>
      </c>
      <c r="K38" s="75">
        <f t="shared" ref="K38:K43" si="8">D38*H38*$D$49*J38/10^3</f>
        <v>0.95638400000000012</v>
      </c>
      <c r="L38" s="65" t="s">
        <v>63</v>
      </c>
      <c r="M38" s="76"/>
    </row>
    <row r="39" spans="2:13" x14ac:dyDescent="0.2">
      <c r="B39" s="62" t="str">
        <f t="shared" si="7"/>
        <v>Panel C</v>
      </c>
      <c r="C39" s="65"/>
      <c r="D39" s="72">
        <f>Panels!K28</f>
        <v>143.5</v>
      </c>
      <c r="E39" s="72">
        <f>D28</f>
        <v>1.9</v>
      </c>
      <c r="F39" s="73"/>
      <c r="G39" s="73"/>
      <c r="H39" s="72">
        <f>Panels!K29</f>
        <v>91.5</v>
      </c>
      <c r="I39" s="181"/>
      <c r="J39" s="74">
        <v>2</v>
      </c>
      <c r="K39" s="75">
        <f t="shared" si="8"/>
        <v>49.894949999999994</v>
      </c>
      <c r="L39" s="65" t="s">
        <v>11</v>
      </c>
      <c r="M39" s="76"/>
    </row>
    <row r="40" spans="2:13" x14ac:dyDescent="0.2">
      <c r="B40" s="62" t="str">
        <f t="shared" si="7"/>
        <v>Panel D</v>
      </c>
      <c r="C40" s="65"/>
      <c r="D40" s="72">
        <f>D38</f>
        <v>57.2</v>
      </c>
      <c r="E40" s="72">
        <f>D28</f>
        <v>1.9</v>
      </c>
      <c r="F40" s="74"/>
      <c r="G40" s="74"/>
      <c r="H40" s="72">
        <f>D39</f>
        <v>143.5</v>
      </c>
      <c r="I40" s="181"/>
      <c r="J40" s="74">
        <v>1</v>
      </c>
      <c r="K40" s="75">
        <f t="shared" si="8"/>
        <v>15.59558</v>
      </c>
      <c r="L40" s="65" t="s">
        <v>12</v>
      </c>
      <c r="M40" s="76"/>
    </row>
    <row r="41" spans="2:13" x14ac:dyDescent="0.2">
      <c r="B41" s="62" t="str">
        <f t="shared" si="7"/>
        <v>Panel E</v>
      </c>
      <c r="C41" s="65"/>
      <c r="D41" s="72">
        <f>D38</f>
        <v>57.2</v>
      </c>
      <c r="E41" s="72">
        <f>D28</f>
        <v>1.9</v>
      </c>
      <c r="F41" s="74"/>
      <c r="G41" s="74"/>
      <c r="H41" s="205">
        <v>20.579754582167812</v>
      </c>
      <c r="I41" s="181">
        <f>Path!T57</f>
        <v>-8.0866197504292359E-4</v>
      </c>
      <c r="J41" s="74">
        <v>2</v>
      </c>
      <c r="K41" s="75">
        <f t="shared" si="8"/>
        <v>4.4732154559799957</v>
      </c>
      <c r="L41" s="65" t="s">
        <v>47</v>
      </c>
      <c r="M41" s="76"/>
    </row>
    <row r="42" spans="2:13" x14ac:dyDescent="0.2">
      <c r="B42" s="62" t="str">
        <f t="shared" si="7"/>
        <v>Panel F (baffle)</v>
      </c>
      <c r="C42" s="65"/>
      <c r="D42" s="72">
        <f>D38</f>
        <v>57.2</v>
      </c>
      <c r="E42" s="72">
        <f>D28</f>
        <v>1.9</v>
      </c>
      <c r="F42" s="74"/>
      <c r="G42" s="74"/>
      <c r="H42" s="205">
        <v>54.8</v>
      </c>
      <c r="I42" s="181"/>
      <c r="J42" s="74">
        <v>1</v>
      </c>
      <c r="K42" s="75">
        <f t="shared" si="8"/>
        <v>5.9556639999999996</v>
      </c>
      <c r="L42" s="65" t="s">
        <v>28</v>
      </c>
      <c r="M42" s="76"/>
    </row>
    <row r="43" spans="2:13" x14ac:dyDescent="0.2">
      <c r="B43" s="62" t="str">
        <f t="shared" si="7"/>
        <v>Panel G</v>
      </c>
      <c r="C43" s="65"/>
      <c r="D43" s="72">
        <f>D38</f>
        <v>57.2</v>
      </c>
      <c r="E43" s="72">
        <f>D28</f>
        <v>1.9</v>
      </c>
      <c r="F43" s="74"/>
      <c r="G43" s="74"/>
      <c r="H43" s="205">
        <v>78.899999999999991</v>
      </c>
      <c r="I43" s="181">
        <f>Path!T48</f>
        <v>4.5474735088646412E-13</v>
      </c>
      <c r="J43" s="74">
        <v>2</v>
      </c>
      <c r="K43" s="75">
        <f t="shared" si="8"/>
        <v>17.149703999999996</v>
      </c>
      <c r="L43" s="65" t="s">
        <v>13</v>
      </c>
      <c r="M43" s="76"/>
    </row>
    <row r="44" spans="2:13" x14ac:dyDescent="0.2">
      <c r="B44" s="62"/>
      <c r="C44" s="65"/>
      <c r="D44" s="72"/>
      <c r="E44" s="72"/>
      <c r="F44" s="74"/>
      <c r="G44" s="74"/>
      <c r="H44" s="205">
        <v>10.700000000000008</v>
      </c>
      <c r="I44" s="181">
        <f>Path!T33</f>
        <v>4.5474735088646412E-13</v>
      </c>
      <c r="J44" s="74"/>
      <c r="K44" s="75"/>
      <c r="L44" s="65"/>
      <c r="M44" s="76"/>
    </row>
    <row r="45" spans="2:13" x14ac:dyDescent="0.2">
      <c r="B45" s="62" t="str">
        <f>J18</f>
        <v>Panel H</v>
      </c>
      <c r="C45" s="65"/>
      <c r="D45" s="72">
        <f>D38</f>
        <v>57.2</v>
      </c>
      <c r="E45" s="72">
        <f>D28</f>
        <v>1.9</v>
      </c>
      <c r="F45" s="74"/>
      <c r="G45" s="74"/>
      <c r="H45" s="205">
        <v>75.01532737683516</v>
      </c>
      <c r="I45" s="181">
        <f>Path!T72</f>
        <v>-7.8353474850700877E-4</v>
      </c>
      <c r="J45" s="74">
        <v>2</v>
      </c>
      <c r="K45" s="75">
        <f>D45*H45*$D$49*J45/10^3</f>
        <v>16.30533155862889</v>
      </c>
      <c r="L45" s="65" t="s">
        <v>14</v>
      </c>
      <c r="M45" s="76"/>
    </row>
    <row r="46" spans="2:13" x14ac:dyDescent="0.2">
      <c r="B46" s="62" t="str">
        <f>J19</f>
        <v>Panel I</v>
      </c>
      <c r="C46" s="65"/>
      <c r="D46" s="72">
        <f>D38</f>
        <v>57.2</v>
      </c>
      <c r="E46" s="72">
        <f>D28</f>
        <v>1.9</v>
      </c>
      <c r="F46" s="74"/>
      <c r="G46" s="74"/>
      <c r="H46" s="72">
        <f>Panels!K88</f>
        <v>77</v>
      </c>
      <c r="I46" s="181"/>
      <c r="J46" s="74">
        <v>2</v>
      </c>
      <c r="K46" s="75">
        <f>D46*H46*$D$49*J46/10^3</f>
        <v>16.736720000000002</v>
      </c>
      <c r="L46" s="65" t="s">
        <v>14</v>
      </c>
      <c r="M46" s="76"/>
    </row>
    <row r="47" spans="2:13" x14ac:dyDescent="0.2">
      <c r="B47" s="8"/>
      <c r="C47" s="65"/>
      <c r="D47" s="67"/>
      <c r="E47" s="67"/>
      <c r="F47" s="67"/>
      <c r="G47" s="67"/>
      <c r="H47" s="67"/>
      <c r="I47" s="67"/>
      <c r="J47" s="67"/>
      <c r="K47" s="67"/>
      <c r="L47" s="67"/>
      <c r="M47" s="68"/>
    </row>
    <row r="48" spans="2:13" x14ac:dyDescent="0.2">
      <c r="B48" s="8"/>
      <c r="C48" s="65"/>
      <c r="D48" s="67"/>
      <c r="E48" s="67"/>
      <c r="F48" s="67"/>
      <c r="G48" s="67"/>
      <c r="H48" s="67"/>
      <c r="I48" s="67"/>
      <c r="J48" s="67"/>
      <c r="K48" s="67"/>
      <c r="L48" s="67"/>
      <c r="M48" s="68"/>
    </row>
    <row r="49" spans="1:13" x14ac:dyDescent="0.2">
      <c r="B49" s="78" t="s">
        <v>15</v>
      </c>
      <c r="C49" s="79"/>
      <c r="D49" s="80">
        <f>D28</f>
        <v>1.9</v>
      </c>
      <c r="E49" s="81" t="s">
        <v>22</v>
      </c>
      <c r="F49" s="81"/>
      <c r="G49" s="81"/>
      <c r="H49" s="79"/>
      <c r="I49" s="79"/>
      <c r="J49" s="81" t="s">
        <v>57</v>
      </c>
      <c r="K49" s="82">
        <f>SUM(K37:K48)</f>
        <v>146.54300501460887</v>
      </c>
      <c r="L49" s="81" t="s">
        <v>27</v>
      </c>
      <c r="M49" s="83"/>
    </row>
    <row r="51" spans="1:13" ht="12" thickBot="1" x14ac:dyDescent="0.25">
      <c r="D51" s="12"/>
    </row>
    <row r="52" spans="1:13" ht="12" thickBot="1" x14ac:dyDescent="0.25">
      <c r="B52" s="2" t="s">
        <v>114</v>
      </c>
      <c r="C52" s="3" t="s">
        <v>0</v>
      </c>
      <c r="D52" s="182">
        <v>4000</v>
      </c>
      <c r="E52" s="9" t="s">
        <v>115</v>
      </c>
    </row>
    <row r="53" spans="1:13" ht="12" thickBot="1" x14ac:dyDescent="0.25">
      <c r="B53" s="2" t="s">
        <v>130</v>
      </c>
      <c r="C53" s="183" t="s">
        <v>0</v>
      </c>
      <c r="D53" s="182">
        <v>0</v>
      </c>
      <c r="E53" s="9" t="s">
        <v>115</v>
      </c>
    </row>
    <row r="54" spans="1:13" ht="12" thickBot="1" x14ac:dyDescent="0.25">
      <c r="B54" s="5" t="s">
        <v>131</v>
      </c>
      <c r="C54" s="6" t="s">
        <v>0</v>
      </c>
      <c r="D54" s="7">
        <f>D52-D53</f>
        <v>4000</v>
      </c>
      <c r="E54" s="9" t="s">
        <v>25</v>
      </c>
    </row>
    <row r="57" spans="1:13" ht="12.75" x14ac:dyDescent="0.2">
      <c r="H57" s="242" t="s">
        <v>132</v>
      </c>
    </row>
    <row r="59" spans="1:13" x14ac:dyDescent="0.2">
      <c r="A59" s="103"/>
    </row>
    <row r="66" spans="2:18" x14ac:dyDescent="0.2">
      <c r="B66" s="176" t="s">
        <v>84</v>
      </c>
      <c r="C66" s="177" t="s">
        <v>0</v>
      </c>
      <c r="D66" s="225" t="s">
        <v>85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7"/>
    </row>
    <row r="67" spans="2:18" x14ac:dyDescent="0.2">
      <c r="B67" s="9"/>
      <c r="C67" s="9"/>
      <c r="D67" s="9"/>
      <c r="E67" s="9"/>
      <c r="F67" s="9"/>
      <c r="G67" s="9"/>
      <c r="H67" s="9"/>
      <c r="I67" s="178"/>
      <c r="J67" s="178"/>
      <c r="K67" s="9"/>
      <c r="L67" s="9"/>
      <c r="M67" s="9"/>
      <c r="N67" s="9"/>
      <c r="O67" s="9"/>
      <c r="P67" s="9"/>
      <c r="Q67" s="9"/>
      <c r="R67" s="9"/>
    </row>
    <row r="68" spans="2:18" x14ac:dyDescent="0.2">
      <c r="B68" s="176" t="s">
        <v>86</v>
      </c>
      <c r="C68" s="177" t="s">
        <v>0</v>
      </c>
      <c r="D68" s="228" t="s">
        <v>87</v>
      </c>
      <c r="E68" s="229"/>
      <c r="F68" s="229"/>
      <c r="G68" s="229"/>
      <c r="H68" s="230"/>
      <c r="I68" s="178"/>
      <c r="J68" s="179" t="str">
        <f>CONCATENATE(B68,C68,D68)</f>
        <v>ID=29.00</v>
      </c>
      <c r="K68" s="9"/>
      <c r="L68" s="9"/>
      <c r="M68" s="9"/>
      <c r="N68" s="9"/>
      <c r="O68" s="9"/>
      <c r="P68" s="9"/>
      <c r="Q68" s="9"/>
      <c r="R68" s="9"/>
    </row>
    <row r="69" spans="2:18" x14ac:dyDescent="0.2">
      <c r="B69" s="176" t="s">
        <v>88</v>
      </c>
      <c r="C69" s="177" t="s">
        <v>0</v>
      </c>
      <c r="D69" s="228" t="s">
        <v>89</v>
      </c>
      <c r="E69" s="229"/>
      <c r="F69" s="229"/>
      <c r="G69" s="229"/>
      <c r="H69" s="230"/>
      <c r="I69" s="178"/>
      <c r="J69" s="179" t="str">
        <f t="shared" ref="J69:J105" si="9">CONCATENATE(B69,C69,D69)</f>
        <v>Ang=2.0 x PI</v>
      </c>
      <c r="K69" s="9"/>
      <c r="L69" s="9"/>
      <c r="M69" s="9"/>
      <c r="N69" s="9"/>
      <c r="O69" s="9"/>
      <c r="P69" s="9"/>
      <c r="Q69" s="9"/>
      <c r="R69" s="9"/>
    </row>
    <row r="70" spans="2:18" x14ac:dyDescent="0.2">
      <c r="B70" s="176" t="s">
        <v>90</v>
      </c>
      <c r="C70" s="177" t="s">
        <v>0</v>
      </c>
      <c r="D70" s="231">
        <v>2.83</v>
      </c>
      <c r="E70" s="232"/>
      <c r="F70" s="232"/>
      <c r="G70" s="232"/>
      <c r="H70" s="233"/>
      <c r="I70" s="178"/>
      <c r="J70" s="179" t="str">
        <f t="shared" si="9"/>
        <v>Eg=2.83</v>
      </c>
      <c r="K70" s="9"/>
      <c r="L70" s="9"/>
      <c r="M70" s="9"/>
      <c r="N70" s="9"/>
      <c r="O70" s="9"/>
      <c r="P70" s="9"/>
      <c r="Q70" s="9"/>
      <c r="R70" s="9"/>
    </row>
    <row r="71" spans="2:18" x14ac:dyDescent="0.2">
      <c r="B71" s="176" t="s">
        <v>91</v>
      </c>
      <c r="C71" s="177" t="s">
        <v>0</v>
      </c>
      <c r="D71" s="231">
        <v>0</v>
      </c>
      <c r="E71" s="232"/>
      <c r="F71" s="232"/>
      <c r="G71" s="232"/>
      <c r="H71" s="233"/>
      <c r="I71" s="9"/>
      <c r="J71" s="179" t="str">
        <f t="shared" si="9"/>
        <v>Rg=0</v>
      </c>
      <c r="K71" s="9"/>
      <c r="L71" s="9"/>
      <c r="M71" s="9"/>
      <c r="N71" s="9"/>
      <c r="O71" s="9"/>
      <c r="P71" s="9"/>
      <c r="Q71" s="9"/>
      <c r="R71" s="9"/>
    </row>
    <row r="72" spans="2:18" x14ac:dyDescent="0.2">
      <c r="B72" s="176" t="s">
        <v>92</v>
      </c>
      <c r="C72" s="177" t="s">
        <v>0</v>
      </c>
      <c r="D72" s="221">
        <v>0</v>
      </c>
      <c r="E72" s="222"/>
      <c r="F72" s="222"/>
      <c r="G72" s="222"/>
      <c r="H72" s="223"/>
      <c r="I72" s="9"/>
      <c r="J72" s="179" t="str">
        <f t="shared" si="9"/>
        <v>Fta=0</v>
      </c>
      <c r="K72" s="9"/>
      <c r="L72" s="9"/>
      <c r="M72" s="9"/>
      <c r="N72" s="9"/>
      <c r="O72" s="9"/>
      <c r="P72" s="9"/>
      <c r="Q72" s="9"/>
      <c r="R72" s="9"/>
    </row>
    <row r="73" spans="2:18" x14ac:dyDescent="0.2">
      <c r="B73" s="176" t="s">
        <v>19</v>
      </c>
      <c r="C73" s="177" t="s">
        <v>0</v>
      </c>
      <c r="D73" s="234">
        <f>ROUND(D11,0)</f>
        <v>1007</v>
      </c>
      <c r="E73" s="235"/>
      <c r="F73" s="235"/>
      <c r="G73" s="235"/>
      <c r="H73" s="236"/>
      <c r="I73" s="9"/>
      <c r="J73" s="179" t="str">
        <f t="shared" si="9"/>
        <v>S1=1007</v>
      </c>
      <c r="K73" s="9"/>
      <c r="L73" s="9"/>
      <c r="M73" s="9"/>
      <c r="N73" s="9"/>
      <c r="O73" s="9"/>
      <c r="P73" s="9"/>
      <c r="Q73" s="9"/>
      <c r="R73" s="9"/>
    </row>
    <row r="74" spans="2:18" x14ac:dyDescent="0.2">
      <c r="B74" s="176" t="s">
        <v>53</v>
      </c>
      <c r="C74" s="177" t="s">
        <v>0</v>
      </c>
      <c r="D74" s="234">
        <f>ROUND(D12,0)</f>
        <v>1007</v>
      </c>
      <c r="E74" s="235"/>
      <c r="F74" s="235"/>
      <c r="G74" s="235"/>
      <c r="H74" s="236"/>
      <c r="I74" s="9"/>
      <c r="J74" s="179" t="str">
        <f t="shared" si="9"/>
        <v>S2=1007</v>
      </c>
      <c r="K74" s="9"/>
      <c r="L74" s="9"/>
      <c r="M74" s="9"/>
      <c r="N74" s="9"/>
      <c r="O74" s="9"/>
      <c r="P74" s="9"/>
      <c r="Q74" s="9"/>
      <c r="R74" s="9"/>
    </row>
    <row r="75" spans="2:18" x14ac:dyDescent="0.2">
      <c r="B75" s="176" t="s">
        <v>93</v>
      </c>
      <c r="C75" s="177" t="s">
        <v>0</v>
      </c>
      <c r="D75" s="237">
        <f>ROUND(D17,1)</f>
        <v>120.6</v>
      </c>
      <c r="E75" s="222"/>
      <c r="F75" s="222"/>
      <c r="G75" s="222"/>
      <c r="H75" s="223"/>
      <c r="I75" s="9"/>
      <c r="J75" s="179" t="str">
        <f t="shared" si="9"/>
        <v>Par=120.6</v>
      </c>
      <c r="K75" s="9"/>
      <c r="L75" s="9"/>
      <c r="M75" s="9"/>
      <c r="N75" s="9"/>
      <c r="O75" s="9"/>
      <c r="P75" s="9"/>
      <c r="Q75" s="9"/>
      <c r="R75" s="9"/>
    </row>
    <row r="76" spans="2:18" x14ac:dyDescent="0.2">
      <c r="B76" s="176" t="s">
        <v>94</v>
      </c>
      <c r="C76" s="177" t="s">
        <v>0</v>
      </c>
      <c r="D76" s="221">
        <v>0</v>
      </c>
      <c r="E76" s="222"/>
      <c r="F76" s="222"/>
      <c r="G76" s="222"/>
      <c r="H76" s="223"/>
      <c r="I76" s="9"/>
      <c r="J76" s="179" t="str">
        <f t="shared" si="9"/>
        <v>F12=0</v>
      </c>
      <c r="K76" s="9"/>
      <c r="L76" s="9"/>
      <c r="M76" s="9"/>
      <c r="N76" s="9"/>
      <c r="O76" s="9"/>
      <c r="P76" s="9"/>
      <c r="Q76" s="9"/>
      <c r="R76" s="9"/>
    </row>
    <row r="77" spans="2:18" x14ac:dyDescent="0.2">
      <c r="B77" s="176" t="s">
        <v>53</v>
      </c>
      <c r="C77" s="177" t="s">
        <v>0</v>
      </c>
      <c r="D77" s="234">
        <f>D74</f>
        <v>1007</v>
      </c>
      <c r="E77" s="235"/>
      <c r="F77" s="235"/>
      <c r="G77" s="235"/>
      <c r="H77" s="236"/>
      <c r="I77" s="9"/>
      <c r="J77" s="179" t="str">
        <f t="shared" si="9"/>
        <v>S2=1007</v>
      </c>
      <c r="K77" s="9"/>
      <c r="L77" s="9"/>
      <c r="M77" s="9"/>
      <c r="N77" s="9"/>
      <c r="O77" s="9"/>
      <c r="P77" s="9"/>
      <c r="Q77" s="9"/>
      <c r="R77" s="9"/>
    </row>
    <row r="78" spans="2:18" x14ac:dyDescent="0.2">
      <c r="B78" s="176" t="s">
        <v>73</v>
      </c>
      <c r="C78" s="177" t="s">
        <v>0</v>
      </c>
      <c r="D78" s="234">
        <f>ROUND(D13,0)</f>
        <v>2496</v>
      </c>
      <c r="E78" s="235"/>
      <c r="F78" s="235"/>
      <c r="G78" s="235"/>
      <c r="H78" s="236"/>
      <c r="I78" s="9"/>
      <c r="J78" s="179" t="str">
        <f t="shared" si="9"/>
        <v>S3=2496</v>
      </c>
      <c r="K78" s="9"/>
      <c r="L78" s="9"/>
      <c r="M78" s="9"/>
      <c r="N78" s="9"/>
      <c r="O78" s="9"/>
      <c r="P78" s="9"/>
      <c r="Q78" s="9"/>
      <c r="R78" s="9"/>
    </row>
    <row r="79" spans="2:18" x14ac:dyDescent="0.2">
      <c r="B79" s="176" t="s">
        <v>93</v>
      </c>
      <c r="C79" s="177" t="s">
        <v>0</v>
      </c>
      <c r="D79" s="237">
        <f>ROUND(D18,1)</f>
        <v>165.9</v>
      </c>
      <c r="E79" s="222"/>
      <c r="F79" s="222"/>
      <c r="G79" s="222"/>
      <c r="H79" s="223"/>
      <c r="I79" s="9"/>
      <c r="J79" s="179" t="str">
        <f t="shared" si="9"/>
        <v>Par=165.9</v>
      </c>
      <c r="K79" s="9"/>
      <c r="L79" s="9"/>
      <c r="M79" s="9"/>
      <c r="N79" s="9"/>
      <c r="O79" s="9"/>
      <c r="P79" s="9"/>
      <c r="Q79" s="9"/>
      <c r="R79" s="9"/>
    </row>
    <row r="80" spans="2:18" x14ac:dyDescent="0.2">
      <c r="B80" s="176" t="s">
        <v>95</v>
      </c>
      <c r="C80" s="177" t="s">
        <v>0</v>
      </c>
      <c r="D80" s="221">
        <v>0</v>
      </c>
      <c r="E80" s="222"/>
      <c r="F80" s="222"/>
      <c r="G80" s="222"/>
      <c r="H80" s="223"/>
      <c r="I80" s="9"/>
      <c r="J80" s="179" t="str">
        <f t="shared" si="9"/>
        <v>F23=0</v>
      </c>
      <c r="K80" s="9"/>
      <c r="L80" s="9"/>
      <c r="M80" s="9"/>
      <c r="N80" s="9"/>
      <c r="O80" s="9"/>
      <c r="P80" s="9"/>
      <c r="Q80" s="9"/>
      <c r="R80" s="9"/>
    </row>
    <row r="81" spans="2:18" x14ac:dyDescent="0.2">
      <c r="B81" s="176" t="s">
        <v>73</v>
      </c>
      <c r="C81" s="177" t="s">
        <v>0</v>
      </c>
      <c r="D81" s="234">
        <v>0</v>
      </c>
      <c r="E81" s="235"/>
      <c r="F81" s="235"/>
      <c r="G81" s="235"/>
      <c r="H81" s="236"/>
      <c r="I81" s="9"/>
      <c r="J81" s="179" t="str">
        <f t="shared" si="9"/>
        <v>S3=0</v>
      </c>
      <c r="K81" s="9"/>
      <c r="L81" s="9"/>
      <c r="M81" s="9"/>
      <c r="N81" s="9"/>
      <c r="O81" s="9"/>
      <c r="P81" s="9"/>
      <c r="Q81" s="9"/>
      <c r="R81" s="9"/>
    </row>
    <row r="82" spans="2:18" x14ac:dyDescent="0.2">
      <c r="B82" s="176" t="s">
        <v>20</v>
      </c>
      <c r="C82" s="177" t="s">
        <v>0</v>
      </c>
      <c r="D82" s="234">
        <v>0</v>
      </c>
      <c r="E82" s="235"/>
      <c r="F82" s="235"/>
      <c r="G82" s="235"/>
      <c r="H82" s="236"/>
      <c r="I82" s="9"/>
      <c r="J82" s="179" t="str">
        <f t="shared" si="9"/>
        <v>S4=0</v>
      </c>
      <c r="K82" s="9"/>
      <c r="L82" s="9"/>
      <c r="M82" s="9"/>
      <c r="N82" s="9"/>
      <c r="O82" s="9"/>
      <c r="P82" s="9"/>
      <c r="Q82" s="9"/>
      <c r="R82" s="9"/>
    </row>
    <row r="83" spans="2:18" x14ac:dyDescent="0.2">
      <c r="B83" s="176" t="s">
        <v>80</v>
      </c>
      <c r="C83" s="177" t="s">
        <v>0</v>
      </c>
      <c r="D83" s="234">
        <v>0</v>
      </c>
      <c r="E83" s="235"/>
      <c r="F83" s="235"/>
      <c r="G83" s="235"/>
      <c r="H83" s="236"/>
      <c r="I83" s="9"/>
      <c r="J83" s="179" t="str">
        <f t="shared" si="9"/>
        <v>L34=0</v>
      </c>
      <c r="K83" s="9"/>
      <c r="L83" s="9"/>
      <c r="M83" s="9"/>
      <c r="N83" s="9"/>
      <c r="O83" s="9"/>
      <c r="P83" s="9"/>
      <c r="Q83" s="9"/>
      <c r="R83" s="9"/>
    </row>
    <row r="84" spans="2:18" x14ac:dyDescent="0.2">
      <c r="B84" s="176" t="s">
        <v>96</v>
      </c>
      <c r="C84" s="177" t="s">
        <v>0</v>
      </c>
      <c r="D84" s="221">
        <v>0</v>
      </c>
      <c r="E84" s="222"/>
      <c r="F84" s="222"/>
      <c r="G84" s="222"/>
      <c r="H84" s="223"/>
      <c r="I84" s="9"/>
      <c r="J84" s="179" t="str">
        <f t="shared" si="9"/>
        <v>F34=0</v>
      </c>
      <c r="K84" s="9"/>
      <c r="L84" s="9"/>
      <c r="M84" s="9"/>
      <c r="N84" s="9"/>
      <c r="O84" s="9"/>
      <c r="P84" s="9"/>
      <c r="Q84" s="9"/>
      <c r="R84" s="9"/>
    </row>
    <row r="85" spans="2:18" x14ac:dyDescent="0.2">
      <c r="B85" s="176" t="s">
        <v>75</v>
      </c>
      <c r="C85" s="177" t="s">
        <v>0</v>
      </c>
      <c r="D85" s="234">
        <f>D15</f>
        <v>2917.2</v>
      </c>
      <c r="E85" s="235"/>
      <c r="F85" s="235"/>
      <c r="G85" s="235"/>
      <c r="H85" s="236"/>
      <c r="I85" s="9"/>
      <c r="J85" s="179" t="str">
        <f t="shared" si="9"/>
        <v>S5=2917.2</v>
      </c>
      <c r="K85" s="9"/>
      <c r="L85" s="9"/>
      <c r="M85" s="9"/>
      <c r="N85" s="9"/>
      <c r="O85" s="9"/>
      <c r="P85" s="9"/>
      <c r="Q85" s="9"/>
      <c r="R85" s="9"/>
    </row>
    <row r="86" spans="2:18" x14ac:dyDescent="0.2">
      <c r="B86" s="176" t="s">
        <v>127</v>
      </c>
      <c r="C86" s="177" t="s">
        <v>0</v>
      </c>
      <c r="D86" s="234">
        <f>D16</f>
        <v>2917.2</v>
      </c>
      <c r="E86" s="222"/>
      <c r="F86" s="222"/>
      <c r="G86" s="222"/>
      <c r="H86" s="223"/>
      <c r="I86" s="9"/>
      <c r="J86" s="179" t="str">
        <f t="shared" si="9"/>
        <v>S6=2917.2</v>
      </c>
      <c r="K86" s="9"/>
      <c r="L86" s="9"/>
      <c r="M86" s="9"/>
      <c r="N86" s="9"/>
      <c r="O86" s="9"/>
      <c r="P86" s="9"/>
      <c r="Q86" s="9"/>
      <c r="R86" s="9"/>
    </row>
    <row r="87" spans="2:18" x14ac:dyDescent="0.2">
      <c r="B87" s="176" t="s">
        <v>93</v>
      </c>
      <c r="C87" s="177" t="s">
        <v>0</v>
      </c>
      <c r="D87" s="237">
        <f>ROUND(D19,1)</f>
        <v>78.900000000000006</v>
      </c>
      <c r="E87" s="222"/>
      <c r="F87" s="222"/>
      <c r="G87" s="222"/>
      <c r="H87" s="223"/>
      <c r="I87" s="9"/>
      <c r="J87" s="179" t="str">
        <f t="shared" si="9"/>
        <v>Par=78.9</v>
      </c>
      <c r="K87" s="9"/>
      <c r="L87" s="9"/>
      <c r="M87" s="9"/>
      <c r="N87" s="9"/>
      <c r="O87" s="9"/>
      <c r="P87" s="9"/>
      <c r="Q87" s="9"/>
      <c r="R87" s="9"/>
    </row>
    <row r="88" spans="2:18" x14ac:dyDescent="0.2">
      <c r="B88" s="176" t="s">
        <v>129</v>
      </c>
      <c r="C88" s="177" t="s">
        <v>0</v>
      </c>
      <c r="D88" s="221">
        <v>0</v>
      </c>
      <c r="E88" s="222"/>
      <c r="F88" s="222"/>
      <c r="G88" s="222"/>
      <c r="H88" s="223"/>
      <c r="I88" s="9"/>
      <c r="J88" s="179" t="str">
        <f t="shared" si="9"/>
        <v>F56=0</v>
      </c>
      <c r="K88" s="9"/>
      <c r="L88" s="9"/>
      <c r="M88" s="9"/>
      <c r="N88" s="9"/>
      <c r="O88" s="9"/>
      <c r="P88" s="9"/>
      <c r="Q88" s="9"/>
      <c r="R88" s="9"/>
    </row>
    <row r="89" spans="2:18" x14ac:dyDescent="0.2">
      <c r="B89" s="176" t="s">
        <v>97</v>
      </c>
      <c r="C89" s="177" t="s">
        <v>0</v>
      </c>
      <c r="D89" s="238">
        <v>1210</v>
      </c>
      <c r="E89" s="226"/>
      <c r="F89" s="226"/>
      <c r="G89" s="226"/>
      <c r="H89" s="227"/>
      <c r="I89" s="9"/>
      <c r="J89" s="179" t="str">
        <f t="shared" si="9"/>
        <v>Sd=1210</v>
      </c>
      <c r="K89" s="9"/>
      <c r="L89" s="9"/>
      <c r="M89" s="9"/>
      <c r="N89" s="9"/>
      <c r="O89" s="9"/>
      <c r="P89" s="9"/>
      <c r="Q89" s="9"/>
      <c r="R89" s="9"/>
    </row>
    <row r="90" spans="2:18" x14ac:dyDescent="0.2">
      <c r="B90" s="176" t="s">
        <v>98</v>
      </c>
      <c r="C90" s="177" t="s">
        <v>0</v>
      </c>
      <c r="D90" s="238">
        <v>26.4</v>
      </c>
      <c r="E90" s="226"/>
      <c r="F90" s="226"/>
      <c r="G90" s="226"/>
      <c r="H90" s="227"/>
      <c r="I90" s="9"/>
      <c r="J90" s="179" t="str">
        <f t="shared" si="9"/>
        <v>Bl=26.4</v>
      </c>
      <c r="K90" s="9"/>
      <c r="L90" s="9"/>
      <c r="M90" s="9"/>
      <c r="N90" s="9"/>
      <c r="O90" s="9"/>
      <c r="P90" s="9"/>
      <c r="Q90" s="9"/>
      <c r="R90" s="9"/>
    </row>
    <row r="91" spans="2:18" x14ac:dyDescent="0.2">
      <c r="B91" s="176" t="s">
        <v>99</v>
      </c>
      <c r="C91" s="177" t="s">
        <v>0</v>
      </c>
      <c r="D91" s="239">
        <v>8.7000000000000001E-5</v>
      </c>
      <c r="E91" s="240"/>
      <c r="F91" s="240"/>
      <c r="G91" s="240"/>
      <c r="H91" s="241"/>
      <c r="I91" s="9"/>
      <c r="J91" s="179" t="str">
        <f t="shared" si="9"/>
        <v>Cms=0.000087</v>
      </c>
      <c r="K91" s="9"/>
      <c r="L91" s="9"/>
      <c r="M91" s="9"/>
      <c r="N91" s="9"/>
      <c r="O91" s="9"/>
      <c r="P91" s="9"/>
      <c r="Q91" s="9"/>
      <c r="R91" s="9"/>
    </row>
    <row r="92" spans="2:18" x14ac:dyDescent="0.2">
      <c r="B92" s="176" t="s">
        <v>100</v>
      </c>
      <c r="C92" s="177" t="s">
        <v>0</v>
      </c>
      <c r="D92" s="238">
        <v>8.9</v>
      </c>
      <c r="E92" s="226"/>
      <c r="F92" s="226"/>
      <c r="G92" s="226"/>
      <c r="H92" s="227"/>
      <c r="I92" s="9"/>
      <c r="J92" s="179" t="str">
        <f t="shared" si="9"/>
        <v>Rms=8.9</v>
      </c>
      <c r="K92" s="9"/>
      <c r="L92" s="9"/>
      <c r="M92" s="9"/>
      <c r="N92" s="9"/>
      <c r="O92" s="9"/>
      <c r="P92" s="9"/>
      <c r="Q92" s="9"/>
      <c r="R92" s="9"/>
    </row>
    <row r="93" spans="2:18" x14ac:dyDescent="0.2">
      <c r="B93" s="176" t="s">
        <v>101</v>
      </c>
      <c r="C93" s="177" t="s">
        <v>0</v>
      </c>
      <c r="D93" s="238">
        <v>243.16</v>
      </c>
      <c r="E93" s="226"/>
      <c r="F93" s="226"/>
      <c r="G93" s="226"/>
      <c r="H93" s="227"/>
      <c r="I93" s="9"/>
      <c r="J93" s="179" t="str">
        <f t="shared" si="9"/>
        <v>Mmd=243.16</v>
      </c>
      <c r="K93" s="9"/>
      <c r="L93" s="9"/>
      <c r="M93" s="9"/>
      <c r="N93" s="9"/>
      <c r="O93" s="9"/>
      <c r="P93" s="9"/>
      <c r="Q93" s="9"/>
      <c r="R93" s="9"/>
    </row>
    <row r="94" spans="2:18" x14ac:dyDescent="0.2">
      <c r="B94" s="243" t="s">
        <v>102</v>
      </c>
      <c r="C94" s="177" t="s">
        <v>0</v>
      </c>
      <c r="D94" s="238">
        <v>1.64</v>
      </c>
      <c r="E94" s="226"/>
      <c r="F94" s="226"/>
      <c r="G94" s="226"/>
      <c r="H94" s="227"/>
      <c r="I94" s="9"/>
      <c r="J94" s="179" t="str">
        <f t="shared" si="9"/>
        <v>Le=1.64</v>
      </c>
      <c r="K94" s="9"/>
      <c r="L94" s="9"/>
      <c r="M94" s="9"/>
      <c r="N94" s="9"/>
      <c r="O94" s="9"/>
      <c r="P94" s="9"/>
      <c r="Q94" s="9"/>
      <c r="R94" s="9"/>
    </row>
    <row r="95" spans="2:18" x14ac:dyDescent="0.2">
      <c r="B95" s="176" t="s">
        <v>103</v>
      </c>
      <c r="C95" s="177" t="s">
        <v>0</v>
      </c>
      <c r="D95" s="238">
        <v>3.2</v>
      </c>
      <c r="E95" s="226"/>
      <c r="F95" s="226"/>
      <c r="G95" s="226"/>
      <c r="H95" s="227"/>
      <c r="I95" s="9"/>
      <c r="J95" s="179" t="str">
        <f t="shared" si="9"/>
        <v>Re=3.2</v>
      </c>
      <c r="K95" s="9"/>
      <c r="L95" s="9"/>
      <c r="M95" s="9"/>
      <c r="N95" s="9"/>
      <c r="O95" s="9"/>
      <c r="P95" s="9"/>
      <c r="Q95" s="9"/>
      <c r="R95" s="9"/>
    </row>
    <row r="96" spans="2:18" x14ac:dyDescent="0.2">
      <c r="B96" s="176" t="s">
        <v>128</v>
      </c>
      <c r="C96" s="177" t="s">
        <v>0</v>
      </c>
      <c r="D96" s="221">
        <v>1</v>
      </c>
      <c r="E96" s="222"/>
      <c r="F96" s="222"/>
      <c r="G96" s="222"/>
      <c r="H96" s="223"/>
      <c r="I96" s="9"/>
      <c r="J96" s="179" t="str">
        <f t="shared" si="9"/>
        <v>CH=1</v>
      </c>
      <c r="K96" s="9"/>
      <c r="L96" s="9"/>
      <c r="M96" s="9"/>
      <c r="N96" s="9"/>
      <c r="O96" s="9"/>
      <c r="P96" s="9"/>
      <c r="Q96" s="9"/>
      <c r="R96" s="9"/>
    </row>
    <row r="97" spans="2:18" x14ac:dyDescent="0.2">
      <c r="B97" s="176" t="s">
        <v>104</v>
      </c>
      <c r="C97" s="177" t="s">
        <v>0</v>
      </c>
      <c r="D97" s="221">
        <v>0</v>
      </c>
      <c r="E97" s="222"/>
      <c r="F97" s="222"/>
      <c r="G97" s="222"/>
      <c r="H97" s="223"/>
      <c r="I97" s="9"/>
      <c r="J97" s="179" t="str">
        <f t="shared" si="9"/>
        <v>Vrc=0</v>
      </c>
      <c r="K97" s="9"/>
      <c r="L97" s="9"/>
      <c r="M97" s="9"/>
      <c r="N97" s="9"/>
      <c r="O97" s="9"/>
      <c r="P97" s="9"/>
      <c r="Q97" s="9"/>
      <c r="R97" s="9"/>
    </row>
    <row r="98" spans="2:18" x14ac:dyDescent="0.2">
      <c r="B98" s="176" t="s">
        <v>105</v>
      </c>
      <c r="C98" s="177" t="s">
        <v>0</v>
      </c>
      <c r="D98" s="221">
        <v>0</v>
      </c>
      <c r="E98" s="222"/>
      <c r="F98" s="222"/>
      <c r="G98" s="222"/>
      <c r="H98" s="223"/>
      <c r="I98" s="9"/>
      <c r="J98" s="179" t="str">
        <f t="shared" si="9"/>
        <v>Lrc=0</v>
      </c>
      <c r="K98" s="9"/>
      <c r="L98" s="9"/>
      <c r="M98" s="9"/>
      <c r="N98" s="9"/>
      <c r="O98" s="9"/>
      <c r="P98" s="9"/>
      <c r="Q98" s="9"/>
      <c r="R98" s="9"/>
    </row>
    <row r="99" spans="2:18" x14ac:dyDescent="0.2">
      <c r="B99" s="176" t="s">
        <v>106</v>
      </c>
      <c r="C99" s="177" t="s">
        <v>0</v>
      </c>
      <c r="D99" s="237">
        <v>0</v>
      </c>
      <c r="E99" s="222"/>
      <c r="F99" s="222"/>
      <c r="G99" s="222"/>
      <c r="H99" s="223"/>
      <c r="I99" s="9"/>
      <c r="J99" s="179" t="str">
        <f t="shared" si="9"/>
        <v>Ap1=0</v>
      </c>
      <c r="K99" s="9"/>
      <c r="L99" s="9"/>
      <c r="M99" s="9"/>
      <c r="N99" s="9"/>
      <c r="O99" s="9"/>
      <c r="P99" s="9"/>
      <c r="Q99" s="9"/>
      <c r="R99" s="9"/>
    </row>
    <row r="100" spans="2:18" x14ac:dyDescent="0.2">
      <c r="B100" s="176" t="s">
        <v>107</v>
      </c>
      <c r="C100" s="177" t="s">
        <v>0</v>
      </c>
      <c r="D100" s="237">
        <v>0</v>
      </c>
      <c r="E100" s="222"/>
      <c r="F100" s="222"/>
      <c r="G100" s="222"/>
      <c r="H100" s="223"/>
      <c r="I100" s="9"/>
      <c r="J100" s="179" t="str">
        <f t="shared" si="9"/>
        <v>Lp=0</v>
      </c>
      <c r="K100" s="9"/>
      <c r="L100" s="9"/>
      <c r="M100" s="9"/>
      <c r="N100" s="9"/>
      <c r="O100" s="9"/>
      <c r="P100" s="9"/>
      <c r="Q100" s="9"/>
      <c r="R100" s="9"/>
    </row>
    <row r="101" spans="2:18" x14ac:dyDescent="0.2">
      <c r="B101" s="176" t="s">
        <v>108</v>
      </c>
      <c r="C101" s="177" t="s">
        <v>0</v>
      </c>
      <c r="D101" s="237">
        <f>D52</f>
        <v>4000</v>
      </c>
      <c r="E101" s="222"/>
      <c r="F101" s="222"/>
      <c r="G101" s="222"/>
      <c r="H101" s="223"/>
      <c r="I101" s="9"/>
      <c r="J101" s="179" t="str">
        <f t="shared" si="9"/>
        <v>Vtc=4000</v>
      </c>
      <c r="K101" s="9"/>
      <c r="L101" s="9"/>
      <c r="M101" s="9"/>
      <c r="N101" s="9"/>
      <c r="O101" s="9"/>
      <c r="P101" s="9"/>
      <c r="Q101" s="9"/>
      <c r="R101" s="9"/>
    </row>
    <row r="102" spans="2:18" x14ac:dyDescent="0.2">
      <c r="B102" s="176" t="s">
        <v>109</v>
      </c>
      <c r="C102" s="177" t="s">
        <v>0</v>
      </c>
      <c r="D102" s="221">
        <f>D89</f>
        <v>1210</v>
      </c>
      <c r="E102" s="222"/>
      <c r="F102" s="222"/>
      <c r="G102" s="222"/>
      <c r="H102" s="223"/>
      <c r="I102" s="9"/>
      <c r="J102" s="179" t="str">
        <f t="shared" si="9"/>
        <v>Atc=1210</v>
      </c>
      <c r="K102" s="9"/>
      <c r="L102" s="9"/>
      <c r="M102" s="9"/>
      <c r="N102" s="9"/>
      <c r="O102" s="9"/>
      <c r="P102" s="9"/>
      <c r="Q102" s="9"/>
      <c r="R102" s="9"/>
    </row>
    <row r="103" spans="2:18" x14ac:dyDescent="0.2">
      <c r="B103" s="176" t="s">
        <v>110</v>
      </c>
      <c r="C103" s="177" t="s">
        <v>0</v>
      </c>
      <c r="D103" s="238">
        <v>1000</v>
      </c>
      <c r="E103" s="226"/>
      <c r="F103" s="226"/>
      <c r="G103" s="226"/>
      <c r="H103" s="227"/>
      <c r="I103" s="9"/>
      <c r="J103" s="179" t="str">
        <f t="shared" si="9"/>
        <v>Pmax=1000</v>
      </c>
      <c r="K103" s="9"/>
      <c r="L103" s="9"/>
      <c r="M103" s="9"/>
      <c r="N103" s="9"/>
      <c r="O103" s="9"/>
      <c r="P103" s="9"/>
      <c r="Q103" s="9"/>
      <c r="R103" s="9"/>
    </row>
    <row r="104" spans="2:18" x14ac:dyDescent="0.2">
      <c r="B104" s="176" t="s">
        <v>111</v>
      </c>
      <c r="C104" s="177" t="s">
        <v>0</v>
      </c>
      <c r="D104" s="238">
        <v>12</v>
      </c>
      <c r="E104" s="226"/>
      <c r="F104" s="226"/>
      <c r="G104" s="226"/>
      <c r="H104" s="227"/>
      <c r="I104" s="9"/>
      <c r="J104" s="179" t="str">
        <f t="shared" si="9"/>
        <v>Xmax=12</v>
      </c>
      <c r="K104" s="9"/>
      <c r="L104" s="9"/>
      <c r="M104" s="9"/>
      <c r="N104" s="9"/>
      <c r="O104" s="9"/>
      <c r="P104" s="9"/>
      <c r="Q104" s="9"/>
      <c r="R104" s="9"/>
    </row>
    <row r="105" spans="2:18" x14ac:dyDescent="0.2">
      <c r="B105" s="176" t="s">
        <v>112</v>
      </c>
      <c r="C105" s="177" t="s">
        <v>0</v>
      </c>
      <c r="D105" s="238" t="s">
        <v>113</v>
      </c>
      <c r="E105" s="226"/>
      <c r="F105" s="226"/>
      <c r="G105" s="226"/>
      <c r="H105" s="227"/>
      <c r="I105" s="9"/>
      <c r="J105" s="179" t="str">
        <f t="shared" si="9"/>
        <v>Comment=BOXPLAN-Export (7.2 Beta)</v>
      </c>
      <c r="K105" s="9"/>
      <c r="L105" s="9"/>
      <c r="M105" s="9"/>
      <c r="N105" s="9"/>
      <c r="O105" s="9"/>
      <c r="P105" s="9"/>
      <c r="Q105" s="9"/>
      <c r="R105" s="9"/>
    </row>
    <row r="123" spans="4:8" x14ac:dyDescent="0.2">
      <c r="D123" s="104"/>
      <c r="H123" s="12"/>
    </row>
    <row r="124" spans="4:8" x14ac:dyDescent="0.2">
      <c r="H124" s="12"/>
    </row>
    <row r="129" spans="11:12" x14ac:dyDescent="0.2">
      <c r="K129" s="14"/>
      <c r="L129" s="14"/>
    </row>
    <row r="130" spans="11:12" x14ac:dyDescent="0.2">
      <c r="K130" s="14"/>
      <c r="L130" s="14"/>
    </row>
    <row r="131" spans="11:12" x14ac:dyDescent="0.2">
      <c r="K131" s="14"/>
      <c r="L131" s="14"/>
    </row>
    <row r="132" spans="11:12" x14ac:dyDescent="0.2">
      <c r="K132" s="14"/>
      <c r="L132" s="14"/>
    </row>
    <row r="133" spans="11:12" x14ac:dyDescent="0.2">
      <c r="K133" s="14"/>
      <c r="L133" s="14"/>
    </row>
    <row r="134" spans="11:12" x14ac:dyDescent="0.2">
      <c r="K134" s="14"/>
      <c r="L134" s="14"/>
    </row>
    <row r="135" spans="11:12" x14ac:dyDescent="0.2">
      <c r="K135" s="14"/>
      <c r="L135" s="14"/>
    </row>
    <row r="136" spans="11:12" x14ac:dyDescent="0.2">
      <c r="K136" s="14"/>
      <c r="L136" s="14"/>
    </row>
    <row r="137" spans="11:12" x14ac:dyDescent="0.2">
      <c r="K137" s="14"/>
      <c r="L137" s="14"/>
    </row>
    <row r="138" spans="11:12" x14ac:dyDescent="0.2">
      <c r="K138" s="14"/>
      <c r="L138" s="14"/>
    </row>
    <row r="307" spans="34:47" x14ac:dyDescent="0.2">
      <c r="AH307" s="104"/>
      <c r="AI307" s="104"/>
      <c r="AJ307" s="14"/>
      <c r="AK307" s="14"/>
      <c r="AL307" s="14"/>
    </row>
    <row r="308" spans="34:47" x14ac:dyDescent="0.2">
      <c r="AH308" s="104"/>
      <c r="AI308" s="104"/>
      <c r="AJ308" s="14"/>
      <c r="AK308" s="14"/>
      <c r="AL308" s="14"/>
      <c r="AU308" s="123"/>
    </row>
    <row r="310" spans="34:47" x14ac:dyDescent="0.2">
      <c r="AH310" s="104"/>
      <c r="AI310" s="104"/>
      <c r="AJ310" s="13"/>
      <c r="AK310" s="13"/>
      <c r="AL310" s="13"/>
    </row>
    <row r="311" spans="34:47" x14ac:dyDescent="0.2">
      <c r="AH311" s="104"/>
      <c r="AI311" s="104"/>
      <c r="AJ311" s="14"/>
      <c r="AK311" s="14"/>
      <c r="AL311" s="14"/>
    </row>
    <row r="312" spans="34:47" x14ac:dyDescent="0.2">
      <c r="AH312" s="104"/>
      <c r="AI312" s="104"/>
      <c r="AJ312" s="14"/>
      <c r="AK312" s="14"/>
      <c r="AL312" s="14"/>
    </row>
    <row r="313" spans="34:47" x14ac:dyDescent="0.2">
      <c r="AH313" s="104"/>
      <c r="AI313" s="104"/>
      <c r="AJ313" s="14"/>
      <c r="AK313" s="14"/>
      <c r="AL313" s="14"/>
    </row>
    <row r="314" spans="34:47" x14ac:dyDescent="0.2">
      <c r="AH314" s="104"/>
      <c r="AI314" s="104"/>
      <c r="AJ314" s="14"/>
      <c r="AK314" s="14"/>
      <c r="AL314" s="14"/>
    </row>
    <row r="316" spans="34:47" x14ac:dyDescent="0.2">
      <c r="AH316" s="104"/>
      <c r="AI316" s="104"/>
      <c r="AJ316" s="13"/>
      <c r="AK316" s="13"/>
      <c r="AL316" s="13"/>
    </row>
    <row r="317" spans="34:47" x14ac:dyDescent="0.2">
      <c r="AH317" s="104"/>
      <c r="AI317" s="104"/>
      <c r="AJ317" s="14"/>
      <c r="AK317" s="14"/>
      <c r="AL317" s="14"/>
    </row>
    <row r="318" spans="34:47" x14ac:dyDescent="0.2">
      <c r="AH318" s="104"/>
      <c r="AI318" s="104"/>
      <c r="AJ318" s="14"/>
      <c r="AK318" s="14"/>
      <c r="AL318" s="14"/>
    </row>
    <row r="319" spans="34:47" x14ac:dyDescent="0.2">
      <c r="AH319" s="104"/>
      <c r="AI319" s="104"/>
      <c r="AJ319" s="14"/>
      <c r="AK319" s="14"/>
      <c r="AL319" s="14"/>
    </row>
    <row r="320" spans="34:47" x14ac:dyDescent="0.2">
      <c r="AH320" s="104"/>
      <c r="AI320" s="104"/>
      <c r="AJ320" s="14"/>
      <c r="AK320" s="14"/>
      <c r="AL320" s="14"/>
    </row>
    <row r="322" spans="34:38" x14ac:dyDescent="0.2">
      <c r="AH322" s="104"/>
      <c r="AI322" s="104"/>
      <c r="AJ322" s="13"/>
      <c r="AK322" s="13"/>
      <c r="AL322" s="13"/>
    </row>
    <row r="323" spans="34:38" x14ac:dyDescent="0.2">
      <c r="AH323" s="104"/>
      <c r="AI323" s="104"/>
      <c r="AJ323" s="14"/>
      <c r="AK323" s="14"/>
      <c r="AL323" s="14"/>
    </row>
    <row r="324" spans="34:38" x14ac:dyDescent="0.2">
      <c r="AH324" s="104"/>
      <c r="AI324" s="104"/>
      <c r="AJ324" s="14"/>
      <c r="AK324" s="14"/>
      <c r="AL324" s="14"/>
    </row>
    <row r="325" spans="34:38" x14ac:dyDescent="0.2">
      <c r="AH325" s="104"/>
      <c r="AI325" s="104"/>
      <c r="AJ325" s="14"/>
      <c r="AK325" s="14"/>
      <c r="AL325" s="14"/>
    </row>
    <row r="326" spans="34:38" x14ac:dyDescent="0.2">
      <c r="AH326" s="104"/>
      <c r="AI326" s="104"/>
      <c r="AJ326" s="14"/>
      <c r="AK326" s="14"/>
      <c r="AL326" s="14"/>
    </row>
    <row r="328" spans="34:38" x14ac:dyDescent="0.2">
      <c r="AH328" s="104"/>
      <c r="AI328" s="104"/>
      <c r="AJ328" s="13"/>
      <c r="AK328" s="13"/>
      <c r="AL328" s="13"/>
    </row>
    <row r="329" spans="34:38" x14ac:dyDescent="0.2">
      <c r="AH329" s="104"/>
      <c r="AI329" s="104"/>
      <c r="AJ329" s="14"/>
      <c r="AK329" s="14"/>
      <c r="AL329" s="14"/>
    </row>
    <row r="330" spans="34:38" x14ac:dyDescent="0.2">
      <c r="AH330" s="104"/>
      <c r="AI330" s="104"/>
      <c r="AJ330" s="14"/>
      <c r="AK330" s="14"/>
      <c r="AL330" s="14"/>
    </row>
    <row r="331" spans="34:38" x14ac:dyDescent="0.2">
      <c r="AH331" s="104"/>
      <c r="AI331" s="104"/>
      <c r="AJ331" s="14"/>
      <c r="AK331" s="14"/>
      <c r="AL331" s="14"/>
    </row>
    <row r="332" spans="34:38" x14ac:dyDescent="0.2">
      <c r="AH332" s="104"/>
      <c r="AI332" s="104"/>
      <c r="AJ332" s="14"/>
      <c r="AK332" s="14"/>
      <c r="AL332" s="14"/>
    </row>
    <row r="334" spans="34:38" x14ac:dyDescent="0.2">
      <c r="AH334" s="104"/>
      <c r="AI334" s="104"/>
      <c r="AJ334" s="13"/>
      <c r="AK334" s="13"/>
      <c r="AL334" s="13"/>
    </row>
    <row r="335" spans="34:38" x14ac:dyDescent="0.2">
      <c r="AH335" s="104"/>
      <c r="AI335" s="104"/>
      <c r="AJ335" s="14"/>
      <c r="AK335" s="14"/>
      <c r="AL335" s="14"/>
    </row>
    <row r="336" spans="34:38" x14ac:dyDescent="0.2">
      <c r="AH336" s="104"/>
      <c r="AI336" s="104"/>
      <c r="AJ336" s="14"/>
      <c r="AK336" s="14"/>
      <c r="AL336" s="14"/>
    </row>
    <row r="337" spans="34:38" x14ac:dyDescent="0.2">
      <c r="AH337" s="104"/>
      <c r="AI337" s="104"/>
      <c r="AJ337" s="14"/>
      <c r="AK337" s="14"/>
      <c r="AL337" s="14"/>
    </row>
    <row r="338" spans="34:38" x14ac:dyDescent="0.2">
      <c r="AH338" s="104"/>
      <c r="AI338" s="104"/>
      <c r="AJ338" s="14"/>
      <c r="AK338" s="14"/>
      <c r="AL338" s="14"/>
    </row>
    <row r="340" spans="34:38" x14ac:dyDescent="0.2">
      <c r="AH340" s="104"/>
      <c r="AI340" s="104"/>
      <c r="AJ340" s="13"/>
      <c r="AK340" s="13"/>
      <c r="AL340" s="13"/>
    </row>
    <row r="341" spans="34:38" x14ac:dyDescent="0.2">
      <c r="AH341" s="104"/>
      <c r="AI341" s="104"/>
      <c r="AJ341" s="14"/>
      <c r="AK341" s="14"/>
      <c r="AL341" s="14"/>
    </row>
    <row r="342" spans="34:38" x14ac:dyDescent="0.2">
      <c r="AH342" s="104"/>
      <c r="AI342" s="104"/>
      <c r="AJ342" s="14"/>
      <c r="AK342" s="14"/>
      <c r="AL342" s="14"/>
    </row>
    <row r="343" spans="34:38" x14ac:dyDescent="0.2">
      <c r="AH343" s="104"/>
      <c r="AI343" s="104"/>
      <c r="AJ343" s="14"/>
      <c r="AK343" s="14"/>
      <c r="AL343" s="14"/>
    </row>
    <row r="344" spans="34:38" x14ac:dyDescent="0.2">
      <c r="AH344" s="104"/>
      <c r="AI344" s="104"/>
      <c r="AJ344" s="14"/>
      <c r="AK344" s="14"/>
      <c r="AL344" s="14"/>
    </row>
    <row r="345" spans="34:38" x14ac:dyDescent="0.2">
      <c r="AH345" s="104"/>
      <c r="AI345" s="104"/>
      <c r="AJ345" s="14"/>
      <c r="AK345" s="14"/>
      <c r="AL345" s="14"/>
    </row>
  </sheetData>
  <sheetProtection sheet="1" objects="1" scenarios="1"/>
  <protectedRanges>
    <protectedRange sqref="M37:M46" name="Range5"/>
    <protectedRange sqref="I5:I7 I11:I19" name="Range4"/>
    <protectedRange sqref="D4:D8" name="Range1"/>
    <protectedRange sqref="D25 D28 D21:D23" name="Range2"/>
  </protectedRanges>
  <mergeCells count="50">
    <mergeCell ref="D103:H103"/>
    <mergeCell ref="D104:H104"/>
    <mergeCell ref="D105:H105"/>
    <mergeCell ref="D97:H97"/>
    <mergeCell ref="D98:H98"/>
    <mergeCell ref="D99:H99"/>
    <mergeCell ref="D100:H100"/>
    <mergeCell ref="D101:H101"/>
    <mergeCell ref="D102:H102"/>
    <mergeCell ref="D96:H96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84:H84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72:H72"/>
    <mergeCell ref="J18:L18"/>
    <mergeCell ref="J12:L12"/>
    <mergeCell ref="J13:L13"/>
    <mergeCell ref="J14:L14"/>
    <mergeCell ref="J15:L15"/>
    <mergeCell ref="D66:R66"/>
    <mergeCell ref="D68:H68"/>
    <mergeCell ref="D69:H69"/>
    <mergeCell ref="D70:H70"/>
    <mergeCell ref="D71:H71"/>
    <mergeCell ref="J5:L5"/>
    <mergeCell ref="J7:L7"/>
    <mergeCell ref="J11:L11"/>
    <mergeCell ref="J16:L16"/>
    <mergeCell ref="J17:L17"/>
    <mergeCell ref="J6:L6"/>
  </mergeCells>
  <phoneticPr fontId="1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3" r:id="rId4" name="Button 59">
              <controlPr defaultSize="0" print="0" autoFill="0" autoPict="0" macro="[0]!Export">
                <anchor moveWithCells="1">
                  <from>
                    <xdr:col>11</xdr:col>
                    <xdr:colOff>133350</xdr:colOff>
                    <xdr:row>50</xdr:row>
                    <xdr:rowOff>104775</xdr:rowOff>
                  </from>
                  <to>
                    <xdr:col>12</xdr:col>
                    <xdr:colOff>819150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5" name="Button 60">
              <controlPr defaultSize="0" print="0" autoFill="0" autoPict="0" macro="[0]!Optimize">
                <anchor moveWithCells="1">
                  <from>
                    <xdr:col>11</xdr:col>
                    <xdr:colOff>171450</xdr:colOff>
                    <xdr:row>22</xdr:row>
                    <xdr:rowOff>47625</xdr:rowOff>
                  </from>
                  <to>
                    <xdr:col>13</xdr:col>
                    <xdr:colOff>19050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" name="Button 61">
              <controlPr defaultSize="0" print="0" autoFill="0" autoPict="0" macro="[0]!Lossy">
                <anchor moveWithCells="1">
                  <from>
                    <xdr:col>11</xdr:col>
                    <xdr:colOff>133350</xdr:colOff>
                    <xdr:row>55</xdr:row>
                    <xdr:rowOff>28575</xdr:rowOff>
                  </from>
                  <to>
                    <xdr:col>12</xdr:col>
                    <xdr:colOff>819150</xdr:colOff>
                    <xdr:row>57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3:W149"/>
  <sheetViews>
    <sheetView topLeftCell="A28" workbookViewId="0">
      <selection activeCell="C84" sqref="C84"/>
    </sheetView>
  </sheetViews>
  <sheetFormatPr defaultRowHeight="12.75" x14ac:dyDescent="0.2"/>
  <sheetData>
    <row r="3" spans="1:23" x14ac:dyDescent="0.2">
      <c r="O3" s="9"/>
      <c r="P3" s="189" t="s">
        <v>117</v>
      </c>
      <c r="Q3" s="190" t="s">
        <v>49</v>
      </c>
      <c r="R3" s="189" t="s">
        <v>50</v>
      </c>
      <c r="S3" s="189" t="s">
        <v>118</v>
      </c>
      <c r="T3" s="191" t="s">
        <v>119</v>
      </c>
      <c r="U3" s="189" t="s">
        <v>49</v>
      </c>
      <c r="V3" s="189" t="s">
        <v>50</v>
      </c>
      <c r="W3" s="189" t="s">
        <v>118</v>
      </c>
    </row>
    <row r="4" spans="1:23" x14ac:dyDescent="0.2">
      <c r="O4" s="192">
        <v>1</v>
      </c>
      <c r="P4" s="193">
        <f>'SPlanar TH'!H34</f>
        <v>4.4918920693090474</v>
      </c>
      <c r="Q4" s="194">
        <f>COS(P4*PI()/180)</f>
        <v>0.9969284265047943</v>
      </c>
      <c r="R4" s="195">
        <f>SIN(P4*PI()/180)</f>
        <v>7.8318021085028139E-2</v>
      </c>
      <c r="S4" s="195">
        <f>TAN(P4*PI()/180)</f>
        <v>7.8559321815718633E-2</v>
      </c>
      <c r="T4" s="195">
        <f>P4/2</f>
        <v>2.2459460346545237</v>
      </c>
      <c r="U4" s="195">
        <f>COS(T4*PI()/180)</f>
        <v>0.99923181156946617</v>
      </c>
      <c r="V4" s="195">
        <f>SIN(T4*PI()/180)</f>
        <v>3.9189115167388516E-2</v>
      </c>
      <c r="W4" s="195">
        <f>TAN(T4*PI()/180)</f>
        <v>3.9219242936066295E-2</v>
      </c>
    </row>
    <row r="5" spans="1:23" x14ac:dyDescent="0.2">
      <c r="A5" s="11"/>
      <c r="B5" s="11"/>
      <c r="C5" s="13" t="s">
        <v>5</v>
      </c>
      <c r="D5" s="13" t="s">
        <v>6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23" x14ac:dyDescent="0.2">
      <c r="A6" s="11"/>
      <c r="B6" s="11"/>
      <c r="C6" s="14">
        <v>0</v>
      </c>
      <c r="D6" s="14">
        <v>0</v>
      </c>
      <c r="E6" s="11"/>
      <c r="F6" s="15"/>
      <c r="G6" s="11"/>
      <c r="H6" s="11"/>
      <c r="I6" s="11"/>
      <c r="J6" s="11"/>
      <c r="K6" s="11"/>
      <c r="L6" s="11"/>
      <c r="M6" s="11"/>
      <c r="N6" s="11"/>
    </row>
    <row r="7" spans="1:23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x14ac:dyDescent="0.2">
      <c r="A8" s="11"/>
      <c r="B8" s="11"/>
      <c r="C8" s="22" t="s">
        <v>3</v>
      </c>
      <c r="D8" s="22" t="s">
        <v>4</v>
      </c>
      <c r="E8" s="22"/>
      <c r="F8" s="22" t="s">
        <v>3</v>
      </c>
      <c r="G8" s="22" t="s">
        <v>4</v>
      </c>
      <c r="H8" s="22"/>
      <c r="I8" s="22" t="s">
        <v>54</v>
      </c>
      <c r="J8" s="22" t="s">
        <v>55</v>
      </c>
      <c r="K8" s="22"/>
      <c r="L8" s="23"/>
      <c r="M8" s="23"/>
      <c r="N8" s="23"/>
      <c r="O8" s="23"/>
      <c r="P8" s="23"/>
      <c r="Q8" s="11"/>
      <c r="R8" s="11"/>
      <c r="S8" s="11"/>
      <c r="T8" s="11"/>
      <c r="U8" s="11"/>
      <c r="V8" s="11"/>
    </row>
    <row r="9" spans="1:23" x14ac:dyDescent="0.2">
      <c r="A9" s="24" t="str">
        <f>'SPlanar TH'!J11</f>
        <v>Panel A</v>
      </c>
      <c r="B9" s="25"/>
      <c r="C9" s="139">
        <f>C27-'SPlanar TH'!$D$28</f>
        <v>141.6</v>
      </c>
      <c r="D9" s="139">
        <f>D27</f>
        <v>91.5</v>
      </c>
      <c r="E9" s="28"/>
      <c r="F9" s="26">
        <f>IF('SPlanar TH'!$I$11="x",C9,$C$6)</f>
        <v>141.6</v>
      </c>
      <c r="G9" s="26">
        <f>IF('SPlanar TH'!$I$11="x",D9,$D$6)</f>
        <v>91.5</v>
      </c>
      <c r="H9" s="28"/>
      <c r="I9" s="26"/>
      <c r="J9" s="26"/>
      <c r="K9" s="28"/>
      <c r="L9" s="27"/>
      <c r="M9" s="29"/>
      <c r="N9" s="11"/>
      <c r="O9" s="11"/>
      <c r="P9" s="11"/>
      <c r="Q9" s="11"/>
      <c r="R9" s="11"/>
      <c r="S9" s="11"/>
      <c r="T9" s="11"/>
      <c r="U9" s="11"/>
      <c r="V9" s="11"/>
    </row>
    <row r="10" spans="1:23" x14ac:dyDescent="0.2">
      <c r="A10" s="31"/>
      <c r="B10" s="32"/>
      <c r="C10" s="140">
        <f>C9</f>
        <v>141.6</v>
      </c>
      <c r="D10" s="140">
        <f>D29+'SPlanar TH'!$D$28</f>
        <v>1.9</v>
      </c>
      <c r="E10" s="35"/>
      <c r="F10" s="33">
        <f>IF('SPlanar TH'!$I$11="x",C10,$C$6)</f>
        <v>141.6</v>
      </c>
      <c r="G10" s="33">
        <f>IF('SPlanar TH'!$I$11="x",D10,$D$6)</f>
        <v>1.9</v>
      </c>
      <c r="H10" s="35"/>
      <c r="I10" s="34">
        <f t="shared" ref="I10:J13" si="0">C9-C10</f>
        <v>0</v>
      </c>
      <c r="J10" s="34">
        <f t="shared" si="0"/>
        <v>89.6</v>
      </c>
      <c r="K10" s="34">
        <f>(I10^2+J10^2)^0.5</f>
        <v>89.6</v>
      </c>
      <c r="L10" s="34"/>
      <c r="M10" s="36"/>
      <c r="N10" s="11"/>
      <c r="O10" s="11"/>
      <c r="P10" s="11"/>
      <c r="Q10" s="11"/>
      <c r="R10" s="11"/>
      <c r="S10" s="11"/>
      <c r="T10" s="11"/>
      <c r="U10" s="11"/>
      <c r="V10" s="11"/>
    </row>
    <row r="11" spans="1:23" x14ac:dyDescent="0.2">
      <c r="A11" s="31"/>
      <c r="B11" s="32"/>
      <c r="C11" s="140">
        <f>C10+'SPlanar TH'!$D$28</f>
        <v>143.5</v>
      </c>
      <c r="D11" s="140">
        <f>D10</f>
        <v>1.9</v>
      </c>
      <c r="E11" s="35"/>
      <c r="F11" s="33">
        <f>IF('SPlanar TH'!$I$11="x",C11,$C$6)</f>
        <v>143.5</v>
      </c>
      <c r="G11" s="33">
        <f>IF('SPlanar TH'!$I$11="x",D11,$D$6)</f>
        <v>1.9</v>
      </c>
      <c r="H11" s="35"/>
      <c r="I11" s="34">
        <f t="shared" si="0"/>
        <v>-1.9000000000000057</v>
      </c>
      <c r="J11" s="34">
        <f t="shared" si="0"/>
        <v>0</v>
      </c>
      <c r="K11" s="34">
        <f>(I11^2+J11^2)^0.5</f>
        <v>1.9000000000000057</v>
      </c>
      <c r="L11" s="34"/>
      <c r="M11" s="36"/>
      <c r="N11" s="11"/>
      <c r="O11" s="11"/>
      <c r="P11" s="11"/>
      <c r="Q11" s="11"/>
      <c r="R11" s="11"/>
      <c r="S11" s="11"/>
      <c r="T11" s="11"/>
      <c r="U11" s="11"/>
      <c r="V11" s="11"/>
    </row>
    <row r="12" spans="1:23" x14ac:dyDescent="0.2">
      <c r="A12" s="31"/>
      <c r="B12" s="32"/>
      <c r="C12" s="140">
        <f>C11</f>
        <v>143.5</v>
      </c>
      <c r="D12" s="140">
        <f>D9</f>
        <v>91.5</v>
      </c>
      <c r="E12" s="32"/>
      <c r="F12" s="33">
        <f>IF('SPlanar TH'!$I$11="x",C12,$C$6)</f>
        <v>143.5</v>
      </c>
      <c r="G12" s="33">
        <f>IF('SPlanar TH'!$I$11="x",D12,$D$6)</f>
        <v>91.5</v>
      </c>
      <c r="H12" s="35"/>
      <c r="I12" s="34">
        <f t="shared" si="0"/>
        <v>0</v>
      </c>
      <c r="J12" s="34">
        <f t="shared" si="0"/>
        <v>-89.6</v>
      </c>
      <c r="K12" s="34">
        <f>(I12^2+J12^2)^0.5</f>
        <v>89.6</v>
      </c>
      <c r="L12" s="34"/>
      <c r="M12" s="36"/>
      <c r="N12" s="11"/>
      <c r="O12" s="11"/>
      <c r="P12" s="11"/>
      <c r="Q12" s="11"/>
      <c r="R12" s="11"/>
      <c r="S12" s="11"/>
      <c r="T12" s="11"/>
      <c r="U12" s="11"/>
      <c r="V12" s="11"/>
    </row>
    <row r="13" spans="1:23" x14ac:dyDescent="0.2">
      <c r="A13" s="42"/>
      <c r="B13" s="43"/>
      <c r="C13" s="141">
        <f>C9</f>
        <v>141.6</v>
      </c>
      <c r="D13" s="141">
        <f>D9</f>
        <v>91.5</v>
      </c>
      <c r="E13" s="43"/>
      <c r="F13" s="44">
        <f>IF('SPlanar TH'!$I$11="x",C13,$C$6)</f>
        <v>141.6</v>
      </c>
      <c r="G13" s="44">
        <f>IF('SPlanar TH'!$I$11="x",D13,$D$6)</f>
        <v>91.5</v>
      </c>
      <c r="H13" s="43"/>
      <c r="I13" s="45">
        <f t="shared" si="0"/>
        <v>1.9000000000000057</v>
      </c>
      <c r="J13" s="45">
        <f t="shared" si="0"/>
        <v>0</v>
      </c>
      <c r="K13" s="45">
        <f>(I13^2+J13^2)^0.5</f>
        <v>1.9000000000000057</v>
      </c>
      <c r="L13" s="43"/>
      <c r="M13" s="46"/>
      <c r="N13" s="11"/>
      <c r="O13" s="11"/>
      <c r="P13" s="11"/>
      <c r="Q13" s="11"/>
      <c r="R13" s="11"/>
      <c r="S13" s="11"/>
      <c r="T13" s="11"/>
      <c r="U13" s="11"/>
      <c r="V13" s="11"/>
    </row>
    <row r="14" spans="1:23" x14ac:dyDescent="0.2">
      <c r="A14" s="11"/>
      <c r="B14" s="11"/>
      <c r="C14" s="142"/>
      <c r="D14" s="1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3" x14ac:dyDescent="0.2">
      <c r="A15" s="24" t="str">
        <f>'SPlanar TH'!J11</f>
        <v>Panel A</v>
      </c>
      <c r="B15" s="25"/>
      <c r="C15" s="139">
        <f>C28</f>
        <v>0</v>
      </c>
      <c r="D15" s="139">
        <f>D9</f>
        <v>91.5</v>
      </c>
      <c r="E15" s="28"/>
      <c r="F15" s="26">
        <f>IF('SPlanar TH'!$I$11="x",C15,$C$6)</f>
        <v>0</v>
      </c>
      <c r="G15" s="26">
        <f>IF('SPlanar TH'!$I$11="x",D15,$D$6)</f>
        <v>91.5</v>
      </c>
      <c r="H15" s="28"/>
      <c r="I15" s="26"/>
      <c r="J15" s="26"/>
      <c r="K15" s="28"/>
      <c r="L15" s="27"/>
      <c r="M15" s="29"/>
      <c r="N15" s="11"/>
      <c r="O15" s="11"/>
      <c r="P15" s="11"/>
      <c r="Q15" s="11"/>
      <c r="R15" s="11"/>
      <c r="S15" s="11"/>
      <c r="T15" s="11"/>
      <c r="U15" s="11"/>
      <c r="V15" s="11"/>
    </row>
    <row r="16" spans="1:23" x14ac:dyDescent="0.2">
      <c r="A16" s="31"/>
      <c r="B16" s="32"/>
      <c r="C16" s="140">
        <f>C15</f>
        <v>0</v>
      </c>
      <c r="D16" s="140">
        <f>D35</f>
        <v>1.9</v>
      </c>
      <c r="E16" s="35"/>
      <c r="F16" s="33">
        <f>IF('SPlanar TH'!$I$11="x",C16,$C$6)</f>
        <v>0</v>
      </c>
      <c r="G16" s="33">
        <f>IF('SPlanar TH'!$I$11="x",D16,$D$6)</f>
        <v>1.9</v>
      </c>
      <c r="H16" s="35"/>
      <c r="I16" s="34">
        <f t="shared" ref="I16:J19" si="1">C15-C16</f>
        <v>0</v>
      </c>
      <c r="J16" s="34">
        <f t="shared" si="1"/>
        <v>89.6</v>
      </c>
      <c r="K16" s="34">
        <f>(I16^2+J16^2)^0.5</f>
        <v>89.6</v>
      </c>
      <c r="L16" s="34"/>
      <c r="M16" s="36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">
      <c r="A17" s="31"/>
      <c r="B17" s="32"/>
      <c r="C17" s="140">
        <f>C16+'SPlanar TH'!$D$28</f>
        <v>1.9</v>
      </c>
      <c r="D17" s="140">
        <f>D16</f>
        <v>1.9</v>
      </c>
      <c r="E17" s="35"/>
      <c r="F17" s="33">
        <f>IF('SPlanar TH'!$I$11="x",C17,$C$6)</f>
        <v>1.9</v>
      </c>
      <c r="G17" s="33">
        <f>IF('SPlanar TH'!$I$11="x",D17,$D$6)</f>
        <v>1.9</v>
      </c>
      <c r="H17" s="35"/>
      <c r="I17" s="34">
        <f t="shared" si="1"/>
        <v>-1.9</v>
      </c>
      <c r="J17" s="34">
        <f t="shared" si="1"/>
        <v>0</v>
      </c>
      <c r="K17" s="34">
        <f>(I17^2+J17^2)^0.5</f>
        <v>1.9</v>
      </c>
      <c r="L17" s="34"/>
      <c r="M17" s="36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">
      <c r="A18" s="31"/>
      <c r="B18" s="32"/>
      <c r="C18" s="140">
        <f>C17</f>
        <v>1.9</v>
      </c>
      <c r="D18" s="140">
        <f>D15</f>
        <v>91.5</v>
      </c>
      <c r="E18" s="32"/>
      <c r="F18" s="33">
        <f>IF('SPlanar TH'!$I$11="x",C18,$C$6)</f>
        <v>1.9</v>
      </c>
      <c r="G18" s="33">
        <f>IF('SPlanar TH'!$I$11="x",D18,$D$6)</f>
        <v>91.5</v>
      </c>
      <c r="H18" s="35"/>
      <c r="I18" s="34">
        <f t="shared" si="1"/>
        <v>0</v>
      </c>
      <c r="J18" s="34">
        <f t="shared" si="1"/>
        <v>-89.6</v>
      </c>
      <c r="K18" s="34">
        <f>(I18^2+J18^2)^0.5</f>
        <v>89.6</v>
      </c>
      <c r="L18" s="34"/>
      <c r="M18" s="36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">
      <c r="A19" s="42"/>
      <c r="B19" s="43"/>
      <c r="C19" s="141">
        <f>C15</f>
        <v>0</v>
      </c>
      <c r="D19" s="141">
        <f>D15</f>
        <v>91.5</v>
      </c>
      <c r="E19" s="43"/>
      <c r="F19" s="44">
        <f>IF('SPlanar TH'!$I$11="x",C19,$C$6)</f>
        <v>0</v>
      </c>
      <c r="G19" s="44">
        <f>IF('SPlanar TH'!$I$11="x",D19,$D$6)</f>
        <v>91.5</v>
      </c>
      <c r="H19" s="43"/>
      <c r="I19" s="45">
        <f t="shared" si="1"/>
        <v>1.9</v>
      </c>
      <c r="J19" s="45">
        <f t="shared" si="1"/>
        <v>0</v>
      </c>
      <c r="K19" s="45">
        <f>(I19^2+J19^2)^0.5</f>
        <v>1.9</v>
      </c>
      <c r="L19" s="43"/>
      <c r="M19" s="46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">
      <c r="A20" s="11"/>
      <c r="B20" s="11"/>
      <c r="C20" s="142"/>
      <c r="D20" s="1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">
      <c r="A21" s="24" t="str">
        <f>'SPlanar TH'!J12</f>
        <v>Panel B</v>
      </c>
      <c r="B21" s="25"/>
      <c r="C21" s="139">
        <f>(C27+'SPlanar TH'!$D$28)/2</f>
        <v>72.7</v>
      </c>
      <c r="D21" s="139">
        <f>D29+'SPlanar TH'!$D$28</f>
        <v>1.9</v>
      </c>
      <c r="E21" s="28"/>
      <c r="F21" s="26">
        <f>IF('SPlanar TH'!$I$12="x",C21,$C$6)</f>
        <v>72.7</v>
      </c>
      <c r="G21" s="26">
        <f>IF('SPlanar TH'!$I$12="x",D21,$D$6)</f>
        <v>1.9</v>
      </c>
      <c r="H21" s="28"/>
      <c r="I21" s="27"/>
      <c r="J21" s="27"/>
      <c r="K21" s="27"/>
      <c r="L21" s="27"/>
      <c r="M21" s="29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31"/>
      <c r="B22" s="32"/>
      <c r="C22" s="140">
        <f>C21</f>
        <v>72.7</v>
      </c>
      <c r="D22" s="140">
        <f>D21+'SPlanar TH'!H38</f>
        <v>10.700000000000001</v>
      </c>
      <c r="E22" s="35"/>
      <c r="F22" s="33">
        <f>IF('SPlanar TH'!$I$12="x",C22,$C$6)</f>
        <v>72.7</v>
      </c>
      <c r="G22" s="33">
        <f>IF('SPlanar TH'!$I$12="x",D22,$D$6)</f>
        <v>10.700000000000001</v>
      </c>
      <c r="H22" s="35"/>
      <c r="I22" s="34">
        <f t="shared" ref="I22:J25" si="2">C21-C22</f>
        <v>0</v>
      </c>
      <c r="J22" s="34">
        <f t="shared" si="2"/>
        <v>-8.8000000000000007</v>
      </c>
      <c r="K22" s="34">
        <f>(I22^2+J22^2)^0.5</f>
        <v>8.8000000000000007</v>
      </c>
      <c r="L22" s="34"/>
      <c r="M22" s="36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31"/>
      <c r="B23" s="32"/>
      <c r="C23" s="140">
        <f>C22-'SPlanar TH'!$D$28</f>
        <v>70.8</v>
      </c>
      <c r="D23" s="140">
        <f>D22</f>
        <v>10.700000000000001</v>
      </c>
      <c r="E23" s="32"/>
      <c r="F23" s="33">
        <f>IF('SPlanar TH'!$I$12="x",C23,$C$6)</f>
        <v>70.8</v>
      </c>
      <c r="G23" s="33">
        <f>IF('SPlanar TH'!$I$12="x",D23,$D$6)</f>
        <v>10.700000000000001</v>
      </c>
      <c r="H23" s="35"/>
      <c r="I23" s="34">
        <f t="shared" si="2"/>
        <v>1.9000000000000057</v>
      </c>
      <c r="J23" s="34">
        <f t="shared" si="2"/>
        <v>0</v>
      </c>
      <c r="K23" s="34">
        <f>(I23^2+J23^2)^0.5</f>
        <v>1.9000000000000057</v>
      </c>
      <c r="L23" s="34"/>
      <c r="M23" s="36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">
      <c r="A24" s="31"/>
      <c r="B24" s="32"/>
      <c r="C24" s="140">
        <f>C23</f>
        <v>70.8</v>
      </c>
      <c r="D24" s="140">
        <f>D21</f>
        <v>1.9</v>
      </c>
      <c r="E24" s="32"/>
      <c r="F24" s="33">
        <f>IF('SPlanar TH'!$I$12="x",C24,$C$6)</f>
        <v>70.8</v>
      </c>
      <c r="G24" s="33">
        <f>IF('SPlanar TH'!$I$12="x",D24,$D$6)</f>
        <v>1.9</v>
      </c>
      <c r="H24" s="35"/>
      <c r="I24" s="34">
        <f t="shared" si="2"/>
        <v>0</v>
      </c>
      <c r="J24" s="34">
        <f t="shared" si="2"/>
        <v>8.8000000000000007</v>
      </c>
      <c r="K24" s="34">
        <f>(I24^2+J24^2)^0.5</f>
        <v>8.8000000000000007</v>
      </c>
      <c r="L24" s="34"/>
      <c r="M24" s="36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42"/>
      <c r="B25" s="43"/>
      <c r="C25" s="141">
        <f>C21</f>
        <v>72.7</v>
      </c>
      <c r="D25" s="141">
        <f>D24</f>
        <v>1.9</v>
      </c>
      <c r="E25" s="43"/>
      <c r="F25" s="44">
        <f>IF('SPlanar TH'!$I$12="x",C25,$C$6)</f>
        <v>72.7</v>
      </c>
      <c r="G25" s="44">
        <f>IF('SPlanar TH'!$I$12="x",D25,$D$6)</f>
        <v>1.9</v>
      </c>
      <c r="H25" s="43"/>
      <c r="I25" s="45">
        <f t="shared" si="2"/>
        <v>-1.9000000000000057</v>
      </c>
      <c r="J25" s="45">
        <f t="shared" si="2"/>
        <v>0</v>
      </c>
      <c r="K25" s="45">
        <f>(I25^2+J25^2)^0.5</f>
        <v>1.9000000000000057</v>
      </c>
      <c r="L25" s="43"/>
      <c r="M25" s="46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">
      <c r="A26" s="11"/>
      <c r="B26" s="11"/>
      <c r="C26" s="142"/>
      <c r="D26" s="14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24" t="str">
        <f>'SPlanar TH'!J13</f>
        <v>Panel C</v>
      </c>
      <c r="B27" s="25"/>
      <c r="C27" s="139">
        <f>'SPlanar TH'!D23+$C$6</f>
        <v>143.5</v>
      </c>
      <c r="D27" s="139">
        <f>'SPlanar TH'!D21</f>
        <v>91.5</v>
      </c>
      <c r="E27" s="28"/>
      <c r="F27" s="26">
        <f>IF('SPlanar TH'!$I$13="x",C27,$C$6)</f>
        <v>143.5</v>
      </c>
      <c r="G27" s="26">
        <f>IF('SPlanar TH'!$I$13="x",D27,$D$6)</f>
        <v>91.5</v>
      </c>
      <c r="H27" s="28"/>
      <c r="I27" s="27"/>
      <c r="J27" s="27"/>
      <c r="K27" s="27"/>
      <c r="L27" s="27"/>
      <c r="M27" s="29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">
      <c r="A28" s="31"/>
      <c r="B28" s="32"/>
      <c r="C28" s="140">
        <f>C6</f>
        <v>0</v>
      </c>
      <c r="D28" s="140">
        <f>D27</f>
        <v>91.5</v>
      </c>
      <c r="E28" s="35"/>
      <c r="F28" s="33">
        <f>IF('SPlanar TH'!$I$13="x",C28,$C$6)</f>
        <v>0</v>
      </c>
      <c r="G28" s="33">
        <f>IF('SPlanar TH'!$I$13="x",D28,$D$6)</f>
        <v>91.5</v>
      </c>
      <c r="H28" s="35"/>
      <c r="I28" s="34">
        <f t="shared" ref="I28:J31" si="3">C27-C28</f>
        <v>143.5</v>
      </c>
      <c r="J28" s="34">
        <f t="shared" si="3"/>
        <v>0</v>
      </c>
      <c r="K28" s="34">
        <f>(I28^2+J28^2)^0.5</f>
        <v>143.5</v>
      </c>
      <c r="L28" s="34"/>
      <c r="M28" s="36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">
      <c r="A29" s="31"/>
      <c r="B29" s="32"/>
      <c r="C29" s="140">
        <f>C28</f>
        <v>0</v>
      </c>
      <c r="D29" s="140">
        <f>D6</f>
        <v>0</v>
      </c>
      <c r="E29" s="35"/>
      <c r="F29" s="33">
        <f>IF('SPlanar TH'!$I$13="x",C29,$C$6)</f>
        <v>0</v>
      </c>
      <c r="G29" s="33">
        <f>IF('SPlanar TH'!$I$13="x",D29,$D$6)</f>
        <v>0</v>
      </c>
      <c r="H29" s="35"/>
      <c r="I29" s="34">
        <f t="shared" si="3"/>
        <v>0</v>
      </c>
      <c r="J29" s="34">
        <f t="shared" si="3"/>
        <v>91.5</v>
      </c>
      <c r="K29" s="34">
        <f>(I29^2+J29^2)^0.5</f>
        <v>91.5</v>
      </c>
      <c r="L29" s="34"/>
      <c r="M29" s="36"/>
      <c r="N29" s="11"/>
      <c r="O29" s="11"/>
      <c r="P29" s="11"/>
      <c r="Q29" s="11"/>
      <c r="R29" s="11"/>
      <c r="S29" s="11"/>
      <c r="T29" s="11"/>
      <c r="U29" s="11"/>
      <c r="V29" s="11"/>
    </row>
    <row r="30" spans="1:22" x14ac:dyDescent="0.2">
      <c r="A30" s="31"/>
      <c r="B30" s="32"/>
      <c r="C30" s="140">
        <f>C27</f>
        <v>143.5</v>
      </c>
      <c r="D30" s="140">
        <f>D29</f>
        <v>0</v>
      </c>
      <c r="E30" s="35"/>
      <c r="F30" s="33">
        <f>IF('SPlanar TH'!$I$13="x",C30,$C$6)</f>
        <v>143.5</v>
      </c>
      <c r="G30" s="33">
        <f>IF('SPlanar TH'!$I$13="x",D30,$D$6)</f>
        <v>0</v>
      </c>
      <c r="H30" s="35"/>
      <c r="I30" s="34">
        <f t="shared" si="3"/>
        <v>-143.5</v>
      </c>
      <c r="J30" s="34">
        <f t="shared" si="3"/>
        <v>0</v>
      </c>
      <c r="K30" s="34">
        <f>(I30^2+J30^2)^0.5</f>
        <v>143.5</v>
      </c>
      <c r="L30" s="34"/>
      <c r="M30" s="36"/>
      <c r="N30" s="11"/>
      <c r="O30" s="11"/>
      <c r="P30" s="11"/>
      <c r="Q30" s="11"/>
      <c r="R30" s="11"/>
      <c r="S30" s="11"/>
      <c r="T30" s="11"/>
      <c r="U30" s="11"/>
      <c r="V30" s="11"/>
    </row>
    <row r="31" spans="1:22" x14ac:dyDescent="0.2">
      <c r="A31" s="42"/>
      <c r="B31" s="43"/>
      <c r="C31" s="141">
        <f>C27</f>
        <v>143.5</v>
      </c>
      <c r="D31" s="141">
        <f>D27</f>
        <v>91.5</v>
      </c>
      <c r="E31" s="43"/>
      <c r="F31" s="44">
        <f>IF('SPlanar TH'!$I$13="x",C31,$C$6)</f>
        <v>143.5</v>
      </c>
      <c r="G31" s="44">
        <f>IF('SPlanar TH'!$I$13="x",D31,$D$6)</f>
        <v>91.5</v>
      </c>
      <c r="H31" s="43"/>
      <c r="I31" s="45">
        <f t="shared" si="3"/>
        <v>0</v>
      </c>
      <c r="J31" s="45">
        <f t="shared" si="3"/>
        <v>-91.5</v>
      </c>
      <c r="K31" s="45">
        <f>(I31^2+J31^2)^0.5</f>
        <v>91.5</v>
      </c>
      <c r="L31" s="43"/>
      <c r="M31" s="46"/>
      <c r="N31" s="11"/>
      <c r="O31" s="11"/>
      <c r="P31" s="11"/>
      <c r="Q31" s="11"/>
      <c r="R31" s="11"/>
      <c r="S31" s="11"/>
      <c r="T31" s="11"/>
      <c r="U31" s="11"/>
      <c r="V31" s="11"/>
    </row>
    <row r="32" spans="1:22" x14ac:dyDescent="0.2">
      <c r="A32" s="11"/>
      <c r="B32" s="11"/>
      <c r="C32" s="142"/>
      <c r="D32" s="14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2" x14ac:dyDescent="0.2">
      <c r="A33" s="24" t="str">
        <f>'SPlanar TH'!J14</f>
        <v>Panel D</v>
      </c>
      <c r="B33" s="25"/>
      <c r="C33" s="139">
        <f>C28</f>
        <v>0</v>
      </c>
      <c r="D33" s="139">
        <f>D29</f>
        <v>0</v>
      </c>
      <c r="E33" s="28"/>
      <c r="F33" s="26">
        <f>IF('SPlanar TH'!$I$14="x",C33,$C$6)</f>
        <v>0</v>
      </c>
      <c r="G33" s="26">
        <f>IF('SPlanar TH'!$I$14="x",D33,$D$6)</f>
        <v>0</v>
      </c>
      <c r="H33" s="28"/>
      <c r="I33" s="27"/>
      <c r="J33" s="27"/>
      <c r="K33" s="27"/>
      <c r="L33" s="27"/>
      <c r="M33" s="29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">
      <c r="A34" s="31"/>
      <c r="B34" s="32"/>
      <c r="C34" s="140">
        <f>C27</f>
        <v>143.5</v>
      </c>
      <c r="D34" s="140">
        <f>D33</f>
        <v>0</v>
      </c>
      <c r="E34" s="35"/>
      <c r="F34" s="33">
        <f>IF('SPlanar TH'!$I$14="x",C34,$C$6)</f>
        <v>143.5</v>
      </c>
      <c r="G34" s="33">
        <f>IF('SPlanar TH'!$I$14="x",D34,$D$6)</f>
        <v>0</v>
      </c>
      <c r="H34" s="35"/>
      <c r="I34" s="34">
        <f t="shared" ref="I34:J37" si="4">C33-C34</f>
        <v>-143.5</v>
      </c>
      <c r="J34" s="34">
        <f t="shared" si="4"/>
        <v>0</v>
      </c>
      <c r="K34" s="34">
        <f>(I34^2+J34^2)^0.5</f>
        <v>143.5</v>
      </c>
      <c r="L34" s="34"/>
      <c r="M34" s="36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">
      <c r="A35" s="31"/>
      <c r="B35" s="32"/>
      <c r="C35" s="140">
        <f>C34</f>
        <v>143.5</v>
      </c>
      <c r="D35" s="140">
        <f>D29+'SPlanar TH'!$D$28</f>
        <v>1.9</v>
      </c>
      <c r="E35" s="35"/>
      <c r="F35" s="33">
        <f>IF('SPlanar TH'!$I$14="x",C35,$C$6)</f>
        <v>143.5</v>
      </c>
      <c r="G35" s="33">
        <f>IF('SPlanar TH'!$I$14="x",D35,$D$6)</f>
        <v>1.9</v>
      </c>
      <c r="H35" s="35"/>
      <c r="I35" s="34">
        <f t="shared" si="4"/>
        <v>0</v>
      </c>
      <c r="J35" s="34">
        <f t="shared" si="4"/>
        <v>-1.9</v>
      </c>
      <c r="K35" s="34">
        <f>(I35^2+J35^2)^0.5</f>
        <v>1.9</v>
      </c>
      <c r="L35" s="34"/>
      <c r="M35" s="36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">
      <c r="A36" s="31"/>
      <c r="B36" s="32"/>
      <c r="C36" s="140">
        <f>C33</f>
        <v>0</v>
      </c>
      <c r="D36" s="140">
        <f>D35</f>
        <v>1.9</v>
      </c>
      <c r="E36" s="35"/>
      <c r="F36" s="33">
        <f>IF('SPlanar TH'!$I$14="x",C36,$C$6)</f>
        <v>0</v>
      </c>
      <c r="G36" s="33">
        <f>IF('SPlanar TH'!$I$14="x",D36,$D$6)</f>
        <v>1.9</v>
      </c>
      <c r="H36" s="35"/>
      <c r="I36" s="34">
        <f t="shared" si="4"/>
        <v>143.5</v>
      </c>
      <c r="J36" s="34">
        <f t="shared" si="4"/>
        <v>0</v>
      </c>
      <c r="K36" s="34">
        <f>(I36^2+J36^2)^0.5</f>
        <v>143.5</v>
      </c>
      <c r="L36" s="34"/>
      <c r="M36" s="36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A37" s="42"/>
      <c r="B37" s="43"/>
      <c r="C37" s="141">
        <f>C33</f>
        <v>0</v>
      </c>
      <c r="D37" s="141">
        <f>D33</f>
        <v>0</v>
      </c>
      <c r="E37" s="77"/>
      <c r="F37" s="44">
        <f>IF('SPlanar TH'!$I$14="x",C37,$C$6)</f>
        <v>0</v>
      </c>
      <c r="G37" s="44">
        <f>IF('SPlanar TH'!$I$14="x",D37,$D$6)</f>
        <v>0</v>
      </c>
      <c r="H37" s="77"/>
      <c r="I37" s="45">
        <f t="shared" si="4"/>
        <v>0</v>
      </c>
      <c r="J37" s="45">
        <f t="shared" si="4"/>
        <v>1.9</v>
      </c>
      <c r="K37" s="45">
        <f>(I37^2+J37^2)^0.5</f>
        <v>1.9</v>
      </c>
      <c r="L37" s="43"/>
      <c r="M37" s="46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A38" s="11"/>
      <c r="B38" s="11"/>
      <c r="C38" s="142"/>
      <c r="D38" s="14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x14ac:dyDescent="0.2">
      <c r="A39" s="24" t="str">
        <f>'SPlanar TH'!J15</f>
        <v>Panel E</v>
      </c>
      <c r="B39" s="25"/>
      <c r="C39" s="139">
        <f>C83</f>
        <v>97.25</v>
      </c>
      <c r="D39" s="139">
        <f>D27</f>
        <v>91.5</v>
      </c>
      <c r="E39" s="28"/>
      <c r="F39" s="26">
        <f>IF('SPlanar TH'!$I$15="x",C39,$C$6)</f>
        <v>97.25</v>
      </c>
      <c r="G39" s="26">
        <f>IF('SPlanar TH'!$I$15="x",D39,$C$6)</f>
        <v>91.5</v>
      </c>
      <c r="H39" s="28"/>
      <c r="I39" s="27"/>
      <c r="J39" s="27"/>
      <c r="K39" s="27"/>
      <c r="L39" s="27"/>
      <c r="M39" s="29"/>
      <c r="N39" s="11"/>
      <c r="O39" s="11"/>
      <c r="P39" s="11"/>
      <c r="Q39" s="11"/>
      <c r="R39" s="11"/>
      <c r="S39" s="11"/>
      <c r="T39" s="11"/>
      <c r="U39" s="11"/>
      <c r="V39" s="11"/>
    </row>
    <row r="40" spans="1:22" x14ac:dyDescent="0.2">
      <c r="A40" s="31"/>
      <c r="B40" s="32"/>
      <c r="C40" s="140">
        <f>C39+'SPlanar TH'!H41</f>
        <v>117.82975458216781</v>
      </c>
      <c r="D40" s="140">
        <f>D39</f>
        <v>91.5</v>
      </c>
      <c r="E40" s="35"/>
      <c r="F40" s="33">
        <f>IF('SPlanar TH'!$I$15="x",C40,$C$6)</f>
        <v>117.82975458216781</v>
      </c>
      <c r="G40" s="33">
        <f>IF('SPlanar TH'!$I$15="x",D40,$C$6)</f>
        <v>91.5</v>
      </c>
      <c r="H40" s="35"/>
      <c r="I40" s="34">
        <f t="shared" ref="I40:J43" si="5">C39-C40</f>
        <v>-20.579754582167809</v>
      </c>
      <c r="J40" s="34">
        <f t="shared" si="5"/>
        <v>0</v>
      </c>
      <c r="K40" s="34">
        <f>(I40^2+J40^2)^0.5</f>
        <v>20.579754582167809</v>
      </c>
      <c r="L40" s="34"/>
      <c r="M40" s="36"/>
      <c r="N40" s="11"/>
      <c r="O40" s="11"/>
      <c r="P40" s="11"/>
      <c r="Q40" s="11"/>
      <c r="R40" s="11"/>
      <c r="S40" s="11"/>
      <c r="T40" s="11"/>
      <c r="U40" s="11"/>
      <c r="V40" s="11"/>
    </row>
    <row r="41" spans="1:22" x14ac:dyDescent="0.2">
      <c r="A41" s="31"/>
      <c r="B41" s="32"/>
      <c r="C41" s="140">
        <f>C40</f>
        <v>117.82975458216781</v>
      </c>
      <c r="D41" s="140">
        <f>D40-'SPlanar TH'!$D$28</f>
        <v>89.6</v>
      </c>
      <c r="E41" s="35"/>
      <c r="F41" s="33">
        <f>IF('SPlanar TH'!$I$15="x",C41,$C$6)</f>
        <v>117.82975458216781</v>
      </c>
      <c r="G41" s="33">
        <f>IF('SPlanar TH'!$I$15="x",D41,$C$6)</f>
        <v>89.6</v>
      </c>
      <c r="H41" s="35"/>
      <c r="I41" s="34">
        <f t="shared" si="5"/>
        <v>0</v>
      </c>
      <c r="J41" s="34">
        <f t="shared" si="5"/>
        <v>1.9000000000000057</v>
      </c>
      <c r="K41" s="34">
        <f>(I41^2+J41^2)^0.5</f>
        <v>1.9000000000000057</v>
      </c>
      <c r="L41" s="34"/>
      <c r="M41" s="36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">
      <c r="A42" s="31"/>
      <c r="B42" s="32"/>
      <c r="C42" s="140">
        <f>C39</f>
        <v>97.25</v>
      </c>
      <c r="D42" s="140">
        <f>D41</f>
        <v>89.6</v>
      </c>
      <c r="E42" s="35"/>
      <c r="F42" s="33">
        <f>IF('SPlanar TH'!$I$15="x",C42,$C$6)</f>
        <v>97.25</v>
      </c>
      <c r="G42" s="33">
        <f>IF('SPlanar TH'!$I$15="x",D42,$C$6)</f>
        <v>89.6</v>
      </c>
      <c r="H42" s="35"/>
      <c r="I42" s="34">
        <f t="shared" si="5"/>
        <v>20.579754582167809</v>
      </c>
      <c r="J42" s="34">
        <f t="shared" si="5"/>
        <v>0</v>
      </c>
      <c r="K42" s="34">
        <f>(I42^2+J42^2)^0.5</f>
        <v>20.579754582167809</v>
      </c>
      <c r="L42" s="34"/>
      <c r="M42" s="36"/>
      <c r="N42" s="11"/>
      <c r="O42" s="11"/>
      <c r="P42" s="11"/>
      <c r="Q42" s="11"/>
      <c r="R42" s="11"/>
      <c r="S42" s="11"/>
      <c r="T42" s="11"/>
      <c r="U42" s="11"/>
      <c r="V42" s="11"/>
    </row>
    <row r="43" spans="1:22" x14ac:dyDescent="0.2">
      <c r="A43" s="42"/>
      <c r="B43" s="43"/>
      <c r="C43" s="141">
        <f>C42</f>
        <v>97.25</v>
      </c>
      <c r="D43" s="141">
        <f>D40</f>
        <v>91.5</v>
      </c>
      <c r="E43" s="77"/>
      <c r="F43" s="44">
        <f>IF('SPlanar TH'!$I$15="x",C43,$C$6)</f>
        <v>97.25</v>
      </c>
      <c r="G43" s="44">
        <f>IF('SPlanar TH'!$I$15="x",D43,$C$6)</f>
        <v>91.5</v>
      </c>
      <c r="H43" s="77"/>
      <c r="I43" s="45">
        <f t="shared" si="5"/>
        <v>0</v>
      </c>
      <c r="J43" s="45">
        <f t="shared" si="5"/>
        <v>-1.9000000000000057</v>
      </c>
      <c r="K43" s="45">
        <f>(I43^2+J43^2)^0.5</f>
        <v>1.9000000000000057</v>
      </c>
      <c r="L43" s="43"/>
      <c r="M43" s="46"/>
      <c r="N43" s="11"/>
      <c r="O43" s="11"/>
      <c r="P43" s="11"/>
      <c r="Q43" s="11"/>
      <c r="R43" s="11"/>
      <c r="S43" s="11"/>
      <c r="T43" s="11"/>
      <c r="U43" s="11"/>
      <c r="V43" s="11"/>
    </row>
    <row r="44" spans="1:22" x14ac:dyDescent="0.2">
      <c r="A44" s="11"/>
      <c r="B44" s="11"/>
      <c r="C44" s="142"/>
      <c r="D44" s="14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x14ac:dyDescent="0.2">
      <c r="A45" s="24" t="str">
        <f>A39</f>
        <v>Panel E</v>
      </c>
      <c r="B45" s="25"/>
      <c r="C45" s="139">
        <f>C89</f>
        <v>46.250000000000007</v>
      </c>
      <c r="D45" s="139">
        <f>D39</f>
        <v>91.5</v>
      </c>
      <c r="E45" s="28"/>
      <c r="F45" s="26">
        <f>IF('SPlanar TH'!$I$15="x",C45,$C$6)</f>
        <v>46.250000000000007</v>
      </c>
      <c r="G45" s="26">
        <f>IF('SPlanar TH'!$I$15="x",D45,$D$6)</f>
        <v>91.5</v>
      </c>
      <c r="H45" s="28"/>
      <c r="I45" s="27"/>
      <c r="J45" s="27"/>
      <c r="K45" s="27"/>
      <c r="L45" s="27"/>
      <c r="M45" s="29"/>
      <c r="N45" s="11"/>
      <c r="O45" s="11"/>
      <c r="P45" s="11"/>
      <c r="Q45" s="11"/>
      <c r="R45" s="11"/>
      <c r="S45" s="11"/>
      <c r="T45" s="11"/>
      <c r="U45" s="11"/>
      <c r="V45" s="11"/>
    </row>
    <row r="46" spans="1:22" x14ac:dyDescent="0.2">
      <c r="A46" s="31"/>
      <c r="B46" s="32"/>
      <c r="C46" s="140">
        <f>C45-'SPlanar TH'!H41</f>
        <v>25.670245417832195</v>
      </c>
      <c r="D46" s="140">
        <f>D45</f>
        <v>91.5</v>
      </c>
      <c r="E46" s="35"/>
      <c r="F46" s="33">
        <f>IF('SPlanar TH'!$I$15="x",C46,$C$6)</f>
        <v>25.670245417832195</v>
      </c>
      <c r="G46" s="33">
        <f>IF('SPlanar TH'!$I$15="x",D46,$D$6)</f>
        <v>91.5</v>
      </c>
      <c r="H46" s="35"/>
      <c r="I46" s="34">
        <f t="shared" ref="I46:J49" si="6">C45-C46</f>
        <v>20.579754582167812</v>
      </c>
      <c r="J46" s="34">
        <f t="shared" si="6"/>
        <v>0</v>
      </c>
      <c r="K46" s="34">
        <f>(I46^2+J46^2)^0.5</f>
        <v>20.579754582167812</v>
      </c>
      <c r="L46" s="34"/>
      <c r="M46" s="36"/>
      <c r="N46" s="11"/>
      <c r="O46" s="11"/>
      <c r="P46" s="11"/>
      <c r="Q46" s="11"/>
      <c r="R46" s="11"/>
      <c r="S46" s="11"/>
      <c r="T46" s="11"/>
      <c r="U46" s="11"/>
      <c r="V46" s="11"/>
    </row>
    <row r="47" spans="1:22" x14ac:dyDescent="0.2">
      <c r="A47" s="31"/>
      <c r="B47" s="32"/>
      <c r="C47" s="140">
        <f>C46</f>
        <v>25.670245417832195</v>
      </c>
      <c r="D47" s="140">
        <f>D46-'SPlanar TH'!$D$28</f>
        <v>89.6</v>
      </c>
      <c r="E47" s="35"/>
      <c r="F47" s="33">
        <f>IF('SPlanar TH'!$I$15="x",C47,$C$6)</f>
        <v>25.670245417832195</v>
      </c>
      <c r="G47" s="33">
        <f>IF('SPlanar TH'!$I$15="x",D47,$D$6)</f>
        <v>89.6</v>
      </c>
      <c r="H47" s="35"/>
      <c r="I47" s="34">
        <f t="shared" si="6"/>
        <v>0</v>
      </c>
      <c r="J47" s="34">
        <f t="shared" si="6"/>
        <v>1.9000000000000057</v>
      </c>
      <c r="K47" s="34">
        <f>(I47^2+J47^2)^0.5</f>
        <v>1.9000000000000057</v>
      </c>
      <c r="L47" s="34"/>
      <c r="M47" s="36"/>
      <c r="N47" s="11"/>
      <c r="O47" s="11"/>
      <c r="P47" s="11"/>
      <c r="Q47" s="11"/>
      <c r="R47" s="11"/>
      <c r="S47" s="11"/>
      <c r="T47" s="11"/>
      <c r="U47" s="11"/>
      <c r="V47" s="11"/>
    </row>
    <row r="48" spans="1:22" x14ac:dyDescent="0.2">
      <c r="A48" s="31"/>
      <c r="B48" s="32"/>
      <c r="C48" s="140">
        <f>C45</f>
        <v>46.250000000000007</v>
      </c>
      <c r="D48" s="140">
        <f>D47</f>
        <v>89.6</v>
      </c>
      <c r="E48" s="35"/>
      <c r="F48" s="33">
        <f>IF('SPlanar TH'!$I$15="x",C48,$C$6)</f>
        <v>46.250000000000007</v>
      </c>
      <c r="G48" s="33">
        <f>IF('SPlanar TH'!$I$15="x",D48,$D$6)</f>
        <v>89.6</v>
      </c>
      <c r="H48" s="35"/>
      <c r="I48" s="34">
        <f t="shared" si="6"/>
        <v>-20.579754582167812</v>
      </c>
      <c r="J48" s="34">
        <f t="shared" si="6"/>
        <v>0</v>
      </c>
      <c r="K48" s="34">
        <f>(I48^2+J48^2)^0.5</f>
        <v>20.579754582167812</v>
      </c>
      <c r="L48" s="34"/>
      <c r="M48" s="36"/>
      <c r="N48" s="11"/>
      <c r="O48" s="11"/>
      <c r="P48" s="11"/>
      <c r="Q48" s="11"/>
      <c r="R48" s="11"/>
      <c r="S48" s="11"/>
      <c r="T48" s="11"/>
      <c r="U48" s="11"/>
      <c r="V48" s="11"/>
    </row>
    <row r="49" spans="1:22" x14ac:dyDescent="0.2">
      <c r="A49" s="42"/>
      <c r="B49" s="43"/>
      <c r="C49" s="141">
        <f>C45</f>
        <v>46.250000000000007</v>
      </c>
      <c r="D49" s="141">
        <f>D45</f>
        <v>91.5</v>
      </c>
      <c r="E49" s="77"/>
      <c r="F49" s="44">
        <f>IF('SPlanar TH'!$I$15="x",C49,$C$6)</f>
        <v>46.250000000000007</v>
      </c>
      <c r="G49" s="44">
        <f>IF('SPlanar TH'!$I$15="x",D49,$D$6)</f>
        <v>91.5</v>
      </c>
      <c r="H49" s="77"/>
      <c r="I49" s="45">
        <f t="shared" si="6"/>
        <v>0</v>
      </c>
      <c r="J49" s="45">
        <f t="shared" si="6"/>
        <v>-1.9000000000000057</v>
      </c>
      <c r="K49" s="45">
        <f>(I49^2+J49^2)^0.5</f>
        <v>1.9000000000000057</v>
      </c>
      <c r="L49" s="43"/>
      <c r="M49" s="46"/>
      <c r="N49" s="11"/>
      <c r="O49" s="11"/>
      <c r="P49" s="11"/>
      <c r="Q49" s="11"/>
      <c r="R49" s="11"/>
      <c r="S49" s="11"/>
      <c r="T49" s="11"/>
      <c r="U49" s="11"/>
      <c r="V49" s="11"/>
    </row>
    <row r="50" spans="1:22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x14ac:dyDescent="0.2">
      <c r="A51" s="84" t="str">
        <f>'SPlanar TH'!J16</f>
        <v>Panel F (baffle)</v>
      </c>
      <c r="B51" s="85"/>
      <c r="C51" s="86">
        <f>C21+('SPlanar TH'!H42-'SPlanar TH'!$D$28)/2</f>
        <v>99.15</v>
      </c>
      <c r="D51" s="86">
        <f>D22</f>
        <v>10.700000000000001</v>
      </c>
      <c r="E51" s="87"/>
      <c r="F51" s="88">
        <f>IF('SPlanar TH'!$I$16="x",C51,$C$6)</f>
        <v>99.15</v>
      </c>
      <c r="G51" s="88">
        <f>IF('SPlanar TH'!$I$16="x",D51,$D$6)</f>
        <v>10.700000000000001</v>
      </c>
      <c r="H51" s="87"/>
      <c r="I51" s="86"/>
      <c r="J51" s="86"/>
      <c r="K51" s="86"/>
      <c r="L51" s="86"/>
      <c r="M51" s="89"/>
      <c r="N51" s="11"/>
      <c r="O51" s="11"/>
      <c r="P51" s="11"/>
      <c r="Q51" s="11"/>
      <c r="R51" s="11"/>
      <c r="S51" s="11"/>
      <c r="T51" s="11"/>
      <c r="U51" s="11"/>
      <c r="V51" s="11"/>
    </row>
    <row r="52" spans="1:22" x14ac:dyDescent="0.2">
      <c r="A52" s="90"/>
      <c r="B52" s="91"/>
      <c r="C52" s="92">
        <f>C51</f>
        <v>99.15</v>
      </c>
      <c r="D52" s="92">
        <f>D51+'SPlanar TH'!$D$28</f>
        <v>12.600000000000001</v>
      </c>
      <c r="E52" s="91"/>
      <c r="F52" s="93">
        <f>IF('SPlanar TH'!$I$16="x",C52,$C$6)</f>
        <v>99.15</v>
      </c>
      <c r="G52" s="93">
        <f>IF('SPlanar TH'!$I$16="x",D52,$D$6)</f>
        <v>12.600000000000001</v>
      </c>
      <c r="H52" s="94"/>
      <c r="I52" s="95">
        <f t="shared" ref="I52:J55" si="7">C51-C52</f>
        <v>0</v>
      </c>
      <c r="J52" s="95">
        <f t="shared" si="7"/>
        <v>-1.9000000000000004</v>
      </c>
      <c r="K52" s="95">
        <f>(I52^2+J52^2)^0.5</f>
        <v>1.9000000000000004</v>
      </c>
      <c r="L52" s="95"/>
      <c r="M52" s="96"/>
      <c r="N52" s="11"/>
      <c r="O52" s="11"/>
      <c r="P52" s="11"/>
      <c r="Q52" s="11"/>
      <c r="R52" s="11"/>
      <c r="S52" s="11"/>
      <c r="T52" s="11"/>
      <c r="U52" s="11"/>
      <c r="V52" s="11"/>
    </row>
    <row r="53" spans="1:22" x14ac:dyDescent="0.2">
      <c r="A53" s="90"/>
      <c r="B53" s="91"/>
      <c r="C53" s="92">
        <f>C52-'SPlanar TH'!H42</f>
        <v>44.350000000000009</v>
      </c>
      <c r="D53" s="92">
        <f>D52</f>
        <v>12.600000000000001</v>
      </c>
      <c r="E53" s="91"/>
      <c r="F53" s="93">
        <f>IF('SPlanar TH'!$I$16="x",C53,$C$6)</f>
        <v>44.350000000000009</v>
      </c>
      <c r="G53" s="93">
        <f>IF('SPlanar TH'!$I$16="x",D53,$D$6)</f>
        <v>12.600000000000001</v>
      </c>
      <c r="H53" s="94"/>
      <c r="I53" s="95">
        <f t="shared" si="7"/>
        <v>54.8</v>
      </c>
      <c r="J53" s="95">
        <f t="shared" si="7"/>
        <v>0</v>
      </c>
      <c r="K53" s="95">
        <f>(I53^2+J53^2)^0.5</f>
        <v>54.8</v>
      </c>
      <c r="L53" s="95"/>
      <c r="M53" s="96"/>
      <c r="N53" s="11"/>
      <c r="O53" s="11"/>
      <c r="P53" s="11"/>
      <c r="Q53" s="11"/>
      <c r="R53" s="11"/>
      <c r="S53" s="11"/>
      <c r="T53" s="11"/>
      <c r="U53" s="11"/>
      <c r="V53" s="11"/>
    </row>
    <row r="54" spans="1:22" x14ac:dyDescent="0.2">
      <c r="A54" s="90"/>
      <c r="B54" s="91"/>
      <c r="C54" s="92">
        <f>C53</f>
        <v>44.350000000000009</v>
      </c>
      <c r="D54" s="92">
        <f>D53-'SPlanar TH'!$D$28</f>
        <v>10.700000000000001</v>
      </c>
      <c r="E54" s="91"/>
      <c r="F54" s="93">
        <f>IF('SPlanar TH'!$I$16="x",C54,$C$6)</f>
        <v>44.350000000000009</v>
      </c>
      <c r="G54" s="93">
        <f>IF('SPlanar TH'!$I$16="x",D54,$D$6)</f>
        <v>10.700000000000001</v>
      </c>
      <c r="H54" s="94"/>
      <c r="I54" s="95">
        <f t="shared" si="7"/>
        <v>0</v>
      </c>
      <c r="J54" s="95">
        <f t="shared" si="7"/>
        <v>1.9000000000000004</v>
      </c>
      <c r="K54" s="95">
        <f>(I54^2+J54^2)^0.5</f>
        <v>1.9000000000000004</v>
      </c>
      <c r="L54" s="95"/>
      <c r="M54" s="96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">
      <c r="A55" s="97"/>
      <c r="B55" s="98"/>
      <c r="C55" s="99">
        <f>C51</f>
        <v>99.15</v>
      </c>
      <c r="D55" s="99">
        <f>D51</f>
        <v>10.700000000000001</v>
      </c>
      <c r="E55" s="98"/>
      <c r="F55" s="100">
        <f>IF('SPlanar TH'!$I$16="x",C55,$C$6)</f>
        <v>99.15</v>
      </c>
      <c r="G55" s="100">
        <f>IF('SPlanar TH'!$I$16="x",D55,$D$6)</f>
        <v>10.700000000000001</v>
      </c>
      <c r="H55" s="98"/>
      <c r="I55" s="101">
        <f t="shared" si="7"/>
        <v>-54.8</v>
      </c>
      <c r="J55" s="101">
        <f t="shared" si="7"/>
        <v>0</v>
      </c>
      <c r="K55" s="101">
        <f>(I55^2+J55^2)^0.5</f>
        <v>54.8</v>
      </c>
      <c r="L55" s="98"/>
      <c r="M55" s="102"/>
      <c r="N55" s="11"/>
      <c r="O55" s="11"/>
      <c r="P55" s="11"/>
      <c r="Q55" s="11"/>
      <c r="R55" s="11"/>
      <c r="S55" s="11"/>
      <c r="T55" s="11"/>
      <c r="U55" s="11"/>
      <c r="V55" s="11"/>
    </row>
    <row r="56" spans="1:2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x14ac:dyDescent="0.2">
      <c r="A57" s="84" t="str">
        <f>'SPlanar TH'!J17</f>
        <v>Panel G</v>
      </c>
      <c r="B57" s="85"/>
      <c r="C57" s="86">
        <f>C51+'SPlanar TH'!H44</f>
        <v>109.85000000000001</v>
      </c>
      <c r="D57" s="86">
        <f>D36</f>
        <v>1.9</v>
      </c>
      <c r="E57" s="87"/>
      <c r="F57" s="88">
        <f>IF('SPlanar TH'!$I$17="x",C57,$C$6)</f>
        <v>109.85000000000001</v>
      </c>
      <c r="G57" s="88">
        <f>IF('SPlanar TH'!$I$17="x",D57,$D$6)</f>
        <v>1.9</v>
      </c>
      <c r="H57" s="87"/>
      <c r="I57" s="86"/>
      <c r="J57" s="86"/>
      <c r="K57" s="86"/>
      <c r="L57" s="86"/>
      <c r="M57" s="89"/>
      <c r="N57" s="11"/>
      <c r="O57" s="11"/>
      <c r="P57" s="11"/>
      <c r="Q57" s="11"/>
      <c r="R57" s="11"/>
      <c r="S57" s="11"/>
      <c r="T57" s="11"/>
      <c r="U57" s="11"/>
      <c r="V57" s="11"/>
    </row>
    <row r="58" spans="1:22" x14ac:dyDescent="0.2">
      <c r="A58" s="90"/>
      <c r="B58" s="91"/>
      <c r="C58" s="92">
        <f>C57</f>
        <v>109.85000000000001</v>
      </c>
      <c r="D58" s="92">
        <f>D57+'SPlanar TH'!H43</f>
        <v>80.8</v>
      </c>
      <c r="E58" s="91"/>
      <c r="F58" s="93">
        <f>IF('SPlanar TH'!$I$17="x",C58,$C$6)</f>
        <v>109.85000000000001</v>
      </c>
      <c r="G58" s="93">
        <f>IF('SPlanar TH'!$I$17="x",D58,$D$6)</f>
        <v>80.8</v>
      </c>
      <c r="H58" s="94"/>
      <c r="I58" s="95">
        <f t="shared" ref="I58:J61" si="8">C57-C58</f>
        <v>0</v>
      </c>
      <c r="J58" s="95">
        <f t="shared" si="8"/>
        <v>-78.899999999999991</v>
      </c>
      <c r="K58" s="95">
        <f>(I58^2+J58^2)^0.5</f>
        <v>78.899999999999991</v>
      </c>
      <c r="L58" s="95"/>
      <c r="M58" s="96"/>
      <c r="N58" s="11"/>
      <c r="O58" s="11"/>
      <c r="P58" s="11"/>
      <c r="Q58" s="11"/>
      <c r="R58" s="11"/>
      <c r="S58" s="11"/>
      <c r="T58" s="11"/>
      <c r="U58" s="11"/>
      <c r="V58" s="11"/>
    </row>
    <row r="59" spans="1:22" x14ac:dyDescent="0.2">
      <c r="A59" s="90"/>
      <c r="B59" s="91"/>
      <c r="C59" s="92">
        <f>C58-'SPlanar TH'!$D$28</f>
        <v>107.95</v>
      </c>
      <c r="D59" s="92">
        <f>D58</f>
        <v>80.8</v>
      </c>
      <c r="E59" s="91"/>
      <c r="F59" s="93">
        <f>IF('SPlanar TH'!$I$17="x",C59,$C$6)</f>
        <v>107.95</v>
      </c>
      <c r="G59" s="93">
        <f>IF('SPlanar TH'!$I$17="x",D59,$D$6)</f>
        <v>80.8</v>
      </c>
      <c r="H59" s="94"/>
      <c r="I59" s="95">
        <f t="shared" si="8"/>
        <v>1.9000000000000057</v>
      </c>
      <c r="J59" s="95">
        <f t="shared" si="8"/>
        <v>0</v>
      </c>
      <c r="K59" s="95">
        <f>(I59^2+J59^2)^0.5</f>
        <v>1.9000000000000057</v>
      </c>
      <c r="L59" s="95"/>
      <c r="M59" s="96"/>
      <c r="N59" s="11"/>
      <c r="O59" s="11"/>
      <c r="P59" s="11"/>
      <c r="Q59" s="11"/>
      <c r="R59" s="11"/>
      <c r="S59" s="11"/>
      <c r="T59" s="11"/>
      <c r="U59" s="11"/>
      <c r="V59" s="11"/>
    </row>
    <row r="60" spans="1:22" x14ac:dyDescent="0.2">
      <c r="A60" s="90"/>
      <c r="B60" s="91"/>
      <c r="C60" s="92">
        <f>C59</f>
        <v>107.95</v>
      </c>
      <c r="D60" s="92">
        <f>D57</f>
        <v>1.9</v>
      </c>
      <c r="E60" s="91"/>
      <c r="F60" s="93">
        <f>IF('SPlanar TH'!$I$17="x",C60,$C$6)</f>
        <v>107.95</v>
      </c>
      <c r="G60" s="93">
        <f>IF('SPlanar TH'!$I$17="x",D60,$D$6)</f>
        <v>1.9</v>
      </c>
      <c r="H60" s="94"/>
      <c r="I60" s="95">
        <f t="shared" si="8"/>
        <v>0</v>
      </c>
      <c r="J60" s="95">
        <f t="shared" si="8"/>
        <v>78.899999999999991</v>
      </c>
      <c r="K60" s="95">
        <f>(I60^2+J60^2)^0.5</f>
        <v>78.899999999999991</v>
      </c>
      <c r="L60" s="95"/>
      <c r="M60" s="96"/>
      <c r="N60" s="11"/>
      <c r="O60" s="11"/>
      <c r="P60" s="11"/>
      <c r="Q60" s="11"/>
      <c r="R60" s="11"/>
      <c r="S60" s="11"/>
      <c r="T60" s="11"/>
      <c r="U60" s="11"/>
      <c r="V60" s="11"/>
    </row>
    <row r="61" spans="1:22" x14ac:dyDescent="0.2">
      <c r="A61" s="97"/>
      <c r="B61" s="98"/>
      <c r="C61" s="99">
        <f>C57</f>
        <v>109.85000000000001</v>
      </c>
      <c r="D61" s="99">
        <f>D57</f>
        <v>1.9</v>
      </c>
      <c r="E61" s="98"/>
      <c r="F61" s="100">
        <f>IF('SPlanar TH'!$I$17="x",C61,$C$6)</f>
        <v>109.85000000000001</v>
      </c>
      <c r="G61" s="100">
        <f>IF('SPlanar TH'!$I$17="x",D61,$D$6)</f>
        <v>1.9</v>
      </c>
      <c r="H61" s="98"/>
      <c r="I61" s="101">
        <f t="shared" si="8"/>
        <v>-1.9000000000000057</v>
      </c>
      <c r="J61" s="101">
        <f t="shared" si="8"/>
        <v>0</v>
      </c>
      <c r="K61" s="101">
        <f>(I61^2+J61^2)^0.5</f>
        <v>1.9000000000000057</v>
      </c>
      <c r="L61" s="98"/>
      <c r="M61" s="102"/>
      <c r="N61" s="11"/>
      <c r="O61" s="11"/>
      <c r="P61" s="11"/>
      <c r="Q61" s="11"/>
      <c r="R61" s="11"/>
      <c r="S61" s="11"/>
      <c r="T61" s="11"/>
      <c r="U61" s="11"/>
      <c r="V61" s="11"/>
    </row>
    <row r="62" spans="1:2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x14ac:dyDescent="0.2">
      <c r="A63" s="84" t="str">
        <f>A57</f>
        <v>Panel G</v>
      </c>
      <c r="B63" s="85"/>
      <c r="C63" s="86">
        <f>C53-'SPlanar TH'!H44</f>
        <v>33.65</v>
      </c>
      <c r="D63" s="86">
        <f>D60</f>
        <v>1.9</v>
      </c>
      <c r="E63" s="87"/>
      <c r="F63" s="88">
        <f>IF('SPlanar TH'!$I$17="x",C63,$C$6)</f>
        <v>33.65</v>
      </c>
      <c r="G63" s="88">
        <f>IF('SPlanar TH'!$I$17="x",D63,$D$6)</f>
        <v>1.9</v>
      </c>
      <c r="H63" s="87"/>
      <c r="I63" s="86"/>
      <c r="J63" s="86"/>
      <c r="K63" s="86"/>
      <c r="L63" s="86"/>
      <c r="M63" s="89"/>
      <c r="N63" s="11"/>
      <c r="O63" s="11"/>
      <c r="P63" s="11"/>
      <c r="Q63" s="11"/>
      <c r="R63" s="11"/>
      <c r="S63" s="11"/>
      <c r="T63" s="11"/>
      <c r="U63" s="11"/>
      <c r="V63" s="11"/>
    </row>
    <row r="64" spans="1:22" x14ac:dyDescent="0.2">
      <c r="A64" s="90"/>
      <c r="B64" s="91"/>
      <c r="C64" s="92">
        <f>C63</f>
        <v>33.65</v>
      </c>
      <c r="D64" s="92">
        <f>D63+'SPlanar TH'!H43</f>
        <v>80.8</v>
      </c>
      <c r="E64" s="91"/>
      <c r="F64" s="93">
        <f>IF('SPlanar TH'!$I$17="x",C64,$C$6)</f>
        <v>33.65</v>
      </c>
      <c r="G64" s="93">
        <f>IF('SPlanar TH'!$I$17="x",D64,$D$6)</f>
        <v>80.8</v>
      </c>
      <c r="H64" s="94"/>
      <c r="I64" s="95">
        <f t="shared" ref="I64:J67" si="9">C63-C64</f>
        <v>0</v>
      </c>
      <c r="J64" s="95">
        <f t="shared" si="9"/>
        <v>-78.899999999999991</v>
      </c>
      <c r="K64" s="95">
        <f>(I64^2+J64^2)^0.5</f>
        <v>78.899999999999991</v>
      </c>
      <c r="L64" s="95"/>
      <c r="M64" s="96"/>
      <c r="N64" s="11"/>
      <c r="O64" s="11"/>
      <c r="P64" s="11"/>
      <c r="Q64" s="11"/>
      <c r="R64" s="11"/>
      <c r="S64" s="11"/>
      <c r="T64" s="11"/>
      <c r="U64" s="11"/>
      <c r="V64" s="11"/>
    </row>
    <row r="65" spans="1:22" x14ac:dyDescent="0.2">
      <c r="A65" s="90"/>
      <c r="B65" s="91"/>
      <c r="C65" s="92">
        <f>C64+'SPlanar TH'!$D$28</f>
        <v>35.549999999999997</v>
      </c>
      <c r="D65" s="92">
        <f>D64</f>
        <v>80.8</v>
      </c>
      <c r="E65" s="91"/>
      <c r="F65" s="93">
        <f>IF('SPlanar TH'!$I$17="x",C65,$C$6)</f>
        <v>35.549999999999997</v>
      </c>
      <c r="G65" s="93">
        <f>IF('SPlanar TH'!$I$17="x",D65,$D$6)</f>
        <v>80.8</v>
      </c>
      <c r="H65" s="94"/>
      <c r="I65" s="95">
        <f t="shared" si="9"/>
        <v>-1.8999999999999986</v>
      </c>
      <c r="J65" s="95">
        <f t="shared" si="9"/>
        <v>0</v>
      </c>
      <c r="K65" s="95">
        <f>(I65^2+J65^2)^0.5</f>
        <v>1.8999999999999986</v>
      </c>
      <c r="L65" s="95"/>
      <c r="M65" s="96"/>
      <c r="N65" s="11"/>
      <c r="O65" s="11"/>
      <c r="P65" s="11"/>
      <c r="Q65" s="11"/>
      <c r="R65" s="11"/>
      <c r="S65" s="11"/>
      <c r="T65" s="11"/>
      <c r="U65" s="11"/>
      <c r="V65" s="11"/>
    </row>
    <row r="66" spans="1:22" x14ac:dyDescent="0.2">
      <c r="A66" s="90"/>
      <c r="B66" s="91"/>
      <c r="C66" s="92">
        <f>C65</f>
        <v>35.549999999999997</v>
      </c>
      <c r="D66" s="92">
        <f>D63</f>
        <v>1.9</v>
      </c>
      <c r="E66" s="91"/>
      <c r="F66" s="93">
        <f>IF('SPlanar TH'!$I$17="x",C66,$C$6)</f>
        <v>35.549999999999997</v>
      </c>
      <c r="G66" s="93">
        <f>IF('SPlanar TH'!$I$17="x",D66,$D$6)</f>
        <v>1.9</v>
      </c>
      <c r="H66" s="94"/>
      <c r="I66" s="95">
        <f t="shared" si="9"/>
        <v>0</v>
      </c>
      <c r="J66" s="95">
        <f t="shared" si="9"/>
        <v>78.899999999999991</v>
      </c>
      <c r="K66" s="95">
        <f>(I66^2+J66^2)^0.5</f>
        <v>78.899999999999991</v>
      </c>
      <c r="L66" s="95"/>
      <c r="M66" s="96"/>
      <c r="N66" s="11"/>
      <c r="O66" s="11"/>
      <c r="P66" s="11"/>
      <c r="Q66" s="11"/>
      <c r="R66" s="11"/>
      <c r="S66" s="11"/>
      <c r="T66" s="11"/>
      <c r="U66" s="11"/>
      <c r="V66" s="11"/>
    </row>
    <row r="67" spans="1:22" x14ac:dyDescent="0.2">
      <c r="A67" s="97"/>
      <c r="B67" s="98"/>
      <c r="C67" s="99">
        <f>C63</f>
        <v>33.65</v>
      </c>
      <c r="D67" s="99">
        <f>D63</f>
        <v>1.9</v>
      </c>
      <c r="E67" s="98"/>
      <c r="F67" s="100">
        <f>IF('SPlanar TH'!$I$17="x",C67,$C$6)</f>
        <v>33.65</v>
      </c>
      <c r="G67" s="100">
        <f>IF('SPlanar TH'!$I$17="x",D67,$D$6)</f>
        <v>1.9</v>
      </c>
      <c r="H67" s="98"/>
      <c r="I67" s="101">
        <f t="shared" si="9"/>
        <v>1.8999999999999986</v>
      </c>
      <c r="J67" s="101">
        <f t="shared" si="9"/>
        <v>0</v>
      </c>
      <c r="K67" s="101">
        <f>(I67^2+J67^2)^0.5</f>
        <v>1.8999999999999986</v>
      </c>
      <c r="L67" s="98"/>
      <c r="M67" s="102"/>
      <c r="N67" s="11"/>
      <c r="O67" s="11"/>
      <c r="P67" s="11"/>
      <c r="Q67" s="11"/>
      <c r="R67" s="11"/>
      <c r="S67" s="11"/>
      <c r="T67" s="11"/>
      <c r="U67" s="11"/>
      <c r="V67" s="11"/>
    </row>
    <row r="68" spans="1:2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">
      <c r="A69" s="84" t="str">
        <f>'SPlanar TH'!J18</f>
        <v>Panel H</v>
      </c>
      <c r="B69" s="85"/>
      <c r="C69" s="86">
        <f>C46</f>
        <v>25.670245417832195</v>
      </c>
      <c r="D69" s="86">
        <f>D46</f>
        <v>91.5</v>
      </c>
      <c r="E69" s="87"/>
      <c r="F69" s="88">
        <f>IF('SPlanar TH'!$I$18="x",C69,$C$6)</f>
        <v>25.670245417832195</v>
      </c>
      <c r="G69" s="88">
        <f>IF('SPlanar TH'!$I$18="x",D69,$D$6)</f>
        <v>91.5</v>
      </c>
      <c r="H69" s="87"/>
      <c r="I69" s="86"/>
      <c r="J69" s="86"/>
      <c r="K69" s="86"/>
      <c r="L69" s="86"/>
      <c r="M69" s="89"/>
      <c r="N69" s="11"/>
      <c r="O69" s="11"/>
      <c r="P69" s="11"/>
      <c r="Q69" s="11"/>
      <c r="R69" s="11"/>
      <c r="S69" s="11"/>
      <c r="T69" s="11"/>
      <c r="U69" s="11"/>
      <c r="V69" s="11"/>
    </row>
    <row r="70" spans="1:22" x14ac:dyDescent="0.2">
      <c r="A70" s="90"/>
      <c r="B70" s="91"/>
      <c r="C70" s="92">
        <f>C69-'SPlanar TH'!H45*R4</f>
        <v>19.795193426632931</v>
      </c>
      <c r="D70" s="92">
        <f>D69-'SPlanar TH'!H45*Q4</f>
        <v>16.715087714469703</v>
      </c>
      <c r="E70" s="91"/>
      <c r="F70" s="93">
        <f>IF('SPlanar TH'!$I$18="x",C70,$C$6)</f>
        <v>19.795193426632931</v>
      </c>
      <c r="G70" s="93">
        <f>IF('SPlanar TH'!$I$18="x",D70,$D$6)</f>
        <v>16.715087714469703</v>
      </c>
      <c r="H70" s="94"/>
      <c r="I70" s="95">
        <f t="shared" ref="I70:J73" si="10">C69-C70</f>
        <v>5.875051991199264</v>
      </c>
      <c r="J70" s="95">
        <f t="shared" si="10"/>
        <v>74.784912285530297</v>
      </c>
      <c r="K70" s="95">
        <f>(I70^2+J70^2)^0.5</f>
        <v>75.01532737683516</v>
      </c>
      <c r="L70" s="95"/>
      <c r="M70" s="96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">
      <c r="A71" s="90"/>
      <c r="B71" s="91"/>
      <c r="C71" s="92">
        <f>C70-'SPlanar TH'!E45*Q4</f>
        <v>17.901029416273822</v>
      </c>
      <c r="D71" s="92">
        <f>D70+'SPlanar TH'!E45*R4</f>
        <v>16.863891954531258</v>
      </c>
      <c r="E71" s="91"/>
      <c r="F71" s="93">
        <f>IF('SPlanar TH'!$I$18="x",C71,$C$6)</f>
        <v>17.901029416273822</v>
      </c>
      <c r="G71" s="93">
        <f>IF('SPlanar TH'!$I$18="x",D71,$D$6)</f>
        <v>16.863891954531258</v>
      </c>
      <c r="H71" s="94"/>
      <c r="I71" s="95">
        <f t="shared" si="10"/>
        <v>1.8941640103591091</v>
      </c>
      <c r="J71" s="95">
        <f t="shared" si="10"/>
        <v>-0.14880424006155479</v>
      </c>
      <c r="K71" s="95">
        <f>(I71^2+J71^2)^0.5</f>
        <v>1.9</v>
      </c>
      <c r="L71" s="95"/>
      <c r="M71" s="96"/>
      <c r="N71" s="11"/>
      <c r="O71" s="11"/>
      <c r="P71" s="11"/>
      <c r="Q71" s="11"/>
      <c r="R71" s="11"/>
      <c r="S71" s="11"/>
      <c r="T71" s="11"/>
      <c r="U71" s="11"/>
      <c r="V71" s="11"/>
    </row>
    <row r="72" spans="1:22" x14ac:dyDescent="0.2">
      <c r="A72" s="90"/>
      <c r="B72" s="91"/>
      <c r="C72" s="92">
        <f>C71+'SPlanar TH'!H45*R4</f>
        <v>23.776081407473086</v>
      </c>
      <c r="D72" s="92">
        <f>D71+'SPlanar TH'!H45*Q4</f>
        <v>91.648804240061551</v>
      </c>
      <c r="E72" s="91"/>
      <c r="F72" s="93">
        <f>IF('SPlanar TH'!$I$18="x",C72,$C$6)</f>
        <v>23.776081407473086</v>
      </c>
      <c r="G72" s="93">
        <f>IF('SPlanar TH'!$I$18="x",D72,$D$6)</f>
        <v>91.648804240061551</v>
      </c>
      <c r="H72" s="94"/>
      <c r="I72" s="95">
        <f t="shared" si="10"/>
        <v>-5.875051991199264</v>
      </c>
      <c r="J72" s="95">
        <f t="shared" si="10"/>
        <v>-74.784912285530297</v>
      </c>
      <c r="K72" s="95">
        <f>(I72^2+J72^2)^0.5</f>
        <v>75.01532737683516</v>
      </c>
      <c r="L72" s="95"/>
      <c r="M72" s="96"/>
      <c r="N72" s="11"/>
      <c r="O72" s="11"/>
      <c r="P72" s="11"/>
      <c r="Q72" s="11"/>
      <c r="R72" s="11"/>
      <c r="S72" s="11"/>
      <c r="T72" s="11"/>
      <c r="U72" s="11"/>
      <c r="V72" s="11"/>
    </row>
    <row r="73" spans="1:22" x14ac:dyDescent="0.2">
      <c r="A73" s="97"/>
      <c r="B73" s="98"/>
      <c r="C73" s="99">
        <f>C69</f>
        <v>25.670245417832195</v>
      </c>
      <c r="D73" s="99">
        <f>D69</f>
        <v>91.5</v>
      </c>
      <c r="E73" s="98"/>
      <c r="F73" s="100">
        <f>IF('SPlanar TH'!$I$18="x",C73,$C$6)</f>
        <v>25.670245417832195</v>
      </c>
      <c r="G73" s="100">
        <f>IF('SPlanar TH'!$I$18="x",D73,$D$6)</f>
        <v>91.5</v>
      </c>
      <c r="H73" s="98"/>
      <c r="I73" s="101">
        <f t="shared" si="10"/>
        <v>-1.8941640103591091</v>
      </c>
      <c r="J73" s="101">
        <f t="shared" si="10"/>
        <v>0.14880424006155124</v>
      </c>
      <c r="K73" s="101">
        <f>(I73^2+J73^2)^0.5</f>
        <v>1.8999999999999997</v>
      </c>
      <c r="L73" s="98"/>
      <c r="M73" s="102"/>
      <c r="N73" s="11"/>
      <c r="O73" s="11"/>
      <c r="P73" s="11"/>
      <c r="Q73" s="11"/>
      <c r="R73" s="11"/>
      <c r="S73" s="11"/>
      <c r="T73" s="11"/>
      <c r="U73" s="11"/>
      <c r="V73" s="11"/>
    </row>
    <row r="74" spans="1:22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x14ac:dyDescent="0.2">
      <c r="A75" s="84" t="str">
        <f>A69</f>
        <v>Panel H</v>
      </c>
      <c r="B75" s="85"/>
      <c r="C75" s="86">
        <f>C40</f>
        <v>117.82975458216781</v>
      </c>
      <c r="D75" s="86">
        <f>D40</f>
        <v>91.5</v>
      </c>
      <c r="E75" s="87"/>
      <c r="F75" s="88">
        <f>IF('SPlanar TH'!$I$18="x",C75,$C$6)</f>
        <v>117.82975458216781</v>
      </c>
      <c r="G75" s="88">
        <f>IF('SPlanar TH'!$I$18="x",D75,$D$6)</f>
        <v>91.5</v>
      </c>
      <c r="H75" s="87"/>
      <c r="I75" s="86"/>
      <c r="J75" s="86"/>
      <c r="K75" s="86"/>
      <c r="L75" s="86"/>
      <c r="M75" s="89"/>
      <c r="N75" s="11"/>
      <c r="O75" s="11"/>
      <c r="P75" s="11"/>
      <c r="Q75" s="11"/>
      <c r="R75" s="11"/>
      <c r="S75" s="11"/>
      <c r="T75" s="11"/>
      <c r="U75" s="11"/>
      <c r="V75" s="11"/>
    </row>
    <row r="76" spans="1:22" x14ac:dyDescent="0.2">
      <c r="A76" s="90"/>
      <c r="B76" s="91"/>
      <c r="C76" s="92">
        <f>C75+'SPlanar TH'!H45*R4</f>
        <v>123.70480657336708</v>
      </c>
      <c r="D76" s="92">
        <f>D75-'SPlanar TH'!H45*Q4</f>
        <v>16.715087714469703</v>
      </c>
      <c r="E76" s="91"/>
      <c r="F76" s="93">
        <f>IF('SPlanar TH'!$I$18="x",C76,$C$6)</f>
        <v>123.70480657336708</v>
      </c>
      <c r="G76" s="93">
        <f>IF('SPlanar TH'!$I$18="x",D76,$D$6)</f>
        <v>16.715087714469703</v>
      </c>
      <c r="H76" s="94"/>
      <c r="I76" s="95">
        <f t="shared" ref="I76:J79" si="11">C75-C76</f>
        <v>-5.8750519911992711</v>
      </c>
      <c r="J76" s="95">
        <f t="shared" si="11"/>
        <v>74.784912285530297</v>
      </c>
      <c r="K76" s="95">
        <f>(I76^2+J76^2)^0.5</f>
        <v>75.01532737683516</v>
      </c>
      <c r="L76" s="95"/>
      <c r="M76" s="96"/>
      <c r="N76" s="11"/>
      <c r="O76" s="11"/>
      <c r="P76" s="11"/>
      <c r="Q76" s="11"/>
      <c r="R76" s="11"/>
      <c r="S76" s="11"/>
      <c r="T76" s="11"/>
      <c r="U76" s="11"/>
      <c r="V76" s="11"/>
    </row>
    <row r="77" spans="1:22" x14ac:dyDescent="0.2">
      <c r="A77" s="90"/>
      <c r="B77" s="91"/>
      <c r="C77" s="92">
        <f>C76+'SPlanar TH'!E45*Q4</f>
        <v>125.59897058372619</v>
      </c>
      <c r="D77" s="92">
        <f>D76+'SPlanar TH'!E45*R4</f>
        <v>16.863891954531258</v>
      </c>
      <c r="E77" s="91"/>
      <c r="F77" s="93">
        <f>IF('SPlanar TH'!$I$18="x",C77,$C$6)</f>
        <v>125.59897058372619</v>
      </c>
      <c r="G77" s="93">
        <f>IF('SPlanar TH'!$I$18="x",D77,$D$6)</f>
        <v>16.863891954531258</v>
      </c>
      <c r="H77" s="94"/>
      <c r="I77" s="95">
        <f t="shared" si="11"/>
        <v>-1.8941640103591055</v>
      </c>
      <c r="J77" s="95">
        <f t="shared" si="11"/>
        <v>-0.14880424006155479</v>
      </c>
      <c r="K77" s="95">
        <f>(I77^2+J77^2)^0.5</f>
        <v>1.8999999999999964</v>
      </c>
      <c r="L77" s="95"/>
      <c r="M77" s="96"/>
      <c r="N77" s="11"/>
      <c r="O77" s="11"/>
      <c r="P77" s="11"/>
      <c r="Q77" s="11"/>
      <c r="R77" s="11"/>
      <c r="S77" s="11"/>
      <c r="T77" s="11"/>
      <c r="U77" s="11"/>
      <c r="V77" s="11"/>
    </row>
    <row r="78" spans="1:22" x14ac:dyDescent="0.2">
      <c r="A78" s="90"/>
      <c r="B78" s="91"/>
      <c r="C78" s="92">
        <f>C77-'SPlanar TH'!H45*R4</f>
        <v>119.72391859252691</v>
      </c>
      <c r="D78" s="92">
        <f>D77+'SPlanar TH'!H45*Q4</f>
        <v>91.648804240061551</v>
      </c>
      <c r="E78" s="91"/>
      <c r="F78" s="93">
        <f>IF('SPlanar TH'!$I$18="x",C78,$C$6)</f>
        <v>119.72391859252691</v>
      </c>
      <c r="G78" s="93">
        <f>IF('SPlanar TH'!$I$18="x",D78,$D$6)</f>
        <v>91.648804240061551</v>
      </c>
      <c r="H78" s="94"/>
      <c r="I78" s="95">
        <f t="shared" si="11"/>
        <v>5.8750519911992711</v>
      </c>
      <c r="J78" s="95">
        <f t="shared" si="11"/>
        <v>-74.784912285530297</v>
      </c>
      <c r="K78" s="95">
        <f>(I78^2+J78^2)^0.5</f>
        <v>75.01532737683516</v>
      </c>
      <c r="L78" s="95"/>
      <c r="M78" s="96"/>
      <c r="N78" s="11"/>
      <c r="O78" s="11"/>
      <c r="P78" s="11"/>
      <c r="Q78" s="11"/>
      <c r="R78" s="11"/>
      <c r="S78" s="11"/>
      <c r="T78" s="11"/>
      <c r="U78" s="11"/>
      <c r="V78" s="11"/>
    </row>
    <row r="79" spans="1:22" x14ac:dyDescent="0.2">
      <c r="A79" s="97"/>
      <c r="B79" s="98"/>
      <c r="C79" s="99">
        <f>C75</f>
        <v>117.82975458216781</v>
      </c>
      <c r="D79" s="99">
        <f>D75</f>
        <v>91.5</v>
      </c>
      <c r="E79" s="98"/>
      <c r="F79" s="100">
        <f>IF('SPlanar TH'!$I$18="x",C79,$C$6)</f>
        <v>117.82975458216781</v>
      </c>
      <c r="G79" s="100">
        <f>IF('SPlanar TH'!$I$18="x",D79,$D$6)</f>
        <v>91.5</v>
      </c>
      <c r="H79" s="98"/>
      <c r="I79" s="101">
        <f t="shared" si="11"/>
        <v>1.8941640103591055</v>
      </c>
      <c r="J79" s="101">
        <f t="shared" si="11"/>
        <v>0.14880424006155124</v>
      </c>
      <c r="K79" s="101">
        <f>(I79^2+J79^2)^0.5</f>
        <v>1.8999999999999961</v>
      </c>
      <c r="L79" s="98"/>
      <c r="M79" s="102"/>
      <c r="N79" s="11"/>
      <c r="O79" s="11"/>
      <c r="P79" s="11"/>
      <c r="Q79" s="11"/>
      <c r="R79" s="11"/>
      <c r="S79" s="11"/>
      <c r="T79" s="11"/>
      <c r="U79" s="11"/>
      <c r="V79" s="11"/>
    </row>
    <row r="80" spans="1:22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1:22" x14ac:dyDescent="0.2">
      <c r="A81" s="84" t="str">
        <f>'SPlanar TH'!J19</f>
        <v>Panel I</v>
      </c>
      <c r="B81" s="105"/>
      <c r="C81" s="106">
        <f>C52</f>
        <v>99.15</v>
      </c>
      <c r="D81" s="106">
        <f>D52</f>
        <v>12.600000000000001</v>
      </c>
      <c r="E81" s="107"/>
      <c r="F81" s="108">
        <f>IF('SPlanar TH'!$I$19="x",C81,$C$6)</f>
        <v>99.15</v>
      </c>
      <c r="G81" s="108">
        <f>IF('SPlanar TH'!$I$19="x",D81,$D$6)</f>
        <v>12.600000000000001</v>
      </c>
      <c r="H81" s="107"/>
      <c r="I81" s="106"/>
      <c r="J81" s="106"/>
      <c r="K81" s="106"/>
      <c r="L81" s="106"/>
      <c r="M81" s="109"/>
      <c r="N81" s="11"/>
      <c r="O81" s="11"/>
      <c r="P81" s="11"/>
      <c r="Q81" s="11"/>
      <c r="R81" s="11"/>
      <c r="S81" s="11"/>
      <c r="T81" s="11"/>
      <c r="U81" s="11"/>
      <c r="V81" s="11"/>
    </row>
    <row r="82" spans="1:22" x14ac:dyDescent="0.2">
      <c r="A82" s="110"/>
      <c r="B82" s="111"/>
      <c r="C82" s="112">
        <f>C81+'SPlanar TH'!$H$35</f>
        <v>99.15</v>
      </c>
      <c r="D82" s="112">
        <f>D48</f>
        <v>89.6</v>
      </c>
      <c r="E82" s="113"/>
      <c r="F82" s="114">
        <f>IF('SPlanar TH'!$I$19="x",C82,$C$6)</f>
        <v>99.15</v>
      </c>
      <c r="G82" s="114">
        <f>IF('SPlanar TH'!$I$19="x",D82,$D$6)</f>
        <v>89.6</v>
      </c>
      <c r="H82" s="113"/>
      <c r="I82" s="112">
        <f t="shared" ref="I82:J85" si="12">C81-C82</f>
        <v>0</v>
      </c>
      <c r="J82" s="112">
        <f t="shared" si="12"/>
        <v>-77</v>
      </c>
      <c r="K82" s="112">
        <f>(I82^2+J82^2)^0.5</f>
        <v>77</v>
      </c>
      <c r="L82" s="112"/>
      <c r="M82" s="115"/>
      <c r="N82" s="11"/>
      <c r="O82" s="11"/>
      <c r="P82" s="11"/>
      <c r="Q82" s="11"/>
      <c r="R82" s="11"/>
      <c r="S82" s="11"/>
      <c r="T82" s="11"/>
      <c r="U82" s="11"/>
      <c r="V82" s="11"/>
    </row>
    <row r="83" spans="1:22" x14ac:dyDescent="0.2">
      <c r="A83" s="110"/>
      <c r="B83" s="111"/>
      <c r="C83" s="112">
        <f>C82-'SPlanar TH'!$D$28</f>
        <v>97.25</v>
      </c>
      <c r="D83" s="112">
        <f>D82</f>
        <v>89.6</v>
      </c>
      <c r="E83" s="113"/>
      <c r="F83" s="114">
        <f>IF('SPlanar TH'!$I$19="x",C83,$C$6)</f>
        <v>97.25</v>
      </c>
      <c r="G83" s="114">
        <f>IF('SPlanar TH'!$I$19="x",D83,$D$6)</f>
        <v>89.6</v>
      </c>
      <c r="H83" s="113"/>
      <c r="I83" s="112">
        <f t="shared" si="12"/>
        <v>1.9000000000000057</v>
      </c>
      <c r="J83" s="112">
        <f t="shared" si="12"/>
        <v>0</v>
      </c>
      <c r="K83" s="112">
        <f>(I83^2+J83^2)^0.5</f>
        <v>1.9000000000000057</v>
      </c>
      <c r="L83" s="112"/>
      <c r="M83" s="115"/>
      <c r="N83" s="11"/>
      <c r="O83" s="11"/>
      <c r="P83" s="11"/>
      <c r="Q83" s="11"/>
      <c r="R83" s="11"/>
      <c r="S83" s="11"/>
      <c r="T83" s="11"/>
      <c r="U83" s="11"/>
      <c r="V83" s="11"/>
    </row>
    <row r="84" spans="1:22" x14ac:dyDescent="0.2">
      <c r="A84" s="110"/>
      <c r="B84" s="111"/>
      <c r="C84" s="112">
        <f>C83</f>
        <v>97.25</v>
      </c>
      <c r="D84" s="112">
        <f>D81</f>
        <v>12.600000000000001</v>
      </c>
      <c r="E84" s="113"/>
      <c r="F84" s="114">
        <f>IF('SPlanar TH'!$I$19="x",C84,$C$6)</f>
        <v>97.25</v>
      </c>
      <c r="G84" s="114">
        <f>IF('SPlanar TH'!$I$19="x",D84,$D$6)</f>
        <v>12.600000000000001</v>
      </c>
      <c r="H84" s="113"/>
      <c r="I84" s="112">
        <f t="shared" si="12"/>
        <v>0</v>
      </c>
      <c r="J84" s="112">
        <f t="shared" si="12"/>
        <v>77</v>
      </c>
      <c r="K84" s="112">
        <f>(I84^2+J84^2)^0.5</f>
        <v>77</v>
      </c>
      <c r="L84" s="112"/>
      <c r="M84" s="115"/>
      <c r="N84" s="11"/>
      <c r="O84" s="11"/>
      <c r="P84" s="11"/>
      <c r="Q84" s="11"/>
      <c r="R84" s="11"/>
      <c r="S84" s="11"/>
      <c r="T84" s="11"/>
      <c r="U84" s="11"/>
      <c r="V84" s="11"/>
    </row>
    <row r="85" spans="1:22" x14ac:dyDescent="0.2">
      <c r="A85" s="116"/>
      <c r="B85" s="117"/>
      <c r="C85" s="118">
        <f>C81</f>
        <v>99.15</v>
      </c>
      <c r="D85" s="118">
        <f>D81</f>
        <v>12.600000000000001</v>
      </c>
      <c r="E85" s="117"/>
      <c r="F85" s="119">
        <f>IF('SPlanar TH'!$I$19="x",C85,$C$6)</f>
        <v>99.15</v>
      </c>
      <c r="G85" s="119">
        <f>IF('SPlanar TH'!$I$19="x",D85,$D$6)</f>
        <v>12.600000000000001</v>
      </c>
      <c r="H85" s="117"/>
      <c r="I85" s="120">
        <f t="shared" si="12"/>
        <v>-1.9000000000000057</v>
      </c>
      <c r="J85" s="120">
        <f t="shared" si="12"/>
        <v>0</v>
      </c>
      <c r="K85" s="120">
        <f>(I85^2+J85^2)^0.5</f>
        <v>1.9000000000000057</v>
      </c>
      <c r="L85" s="117"/>
      <c r="M85" s="121"/>
      <c r="N85" s="11"/>
      <c r="O85" s="11"/>
      <c r="P85" s="11"/>
      <c r="Q85" s="11"/>
      <c r="R85" s="11"/>
      <c r="S85" s="11"/>
      <c r="T85" s="11"/>
      <c r="U85" s="11"/>
      <c r="V85" s="11"/>
    </row>
    <row r="86" spans="1:2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x14ac:dyDescent="0.2">
      <c r="A87" s="84" t="str">
        <f>A81</f>
        <v>Panel I</v>
      </c>
      <c r="B87" s="105"/>
      <c r="C87" s="106">
        <f>C53</f>
        <v>44.350000000000009</v>
      </c>
      <c r="D87" s="106">
        <f>D53</f>
        <v>12.600000000000001</v>
      </c>
      <c r="E87" s="107"/>
      <c r="F87" s="108">
        <f>IF('SPlanar TH'!$I$19="x",C87,$C$6)</f>
        <v>44.350000000000009</v>
      </c>
      <c r="G87" s="108">
        <f>IF('SPlanar TH'!$I$19="x",D87,$D$6)</f>
        <v>12.600000000000001</v>
      </c>
      <c r="H87" s="107"/>
      <c r="I87" s="106"/>
      <c r="J87" s="106"/>
      <c r="K87" s="106"/>
      <c r="L87" s="106"/>
      <c r="M87" s="109"/>
      <c r="N87" s="11"/>
      <c r="O87" s="11"/>
      <c r="P87" s="11"/>
      <c r="Q87" s="11"/>
      <c r="R87" s="11"/>
      <c r="S87" s="11"/>
      <c r="T87" s="11"/>
      <c r="U87" s="11"/>
      <c r="V87" s="11"/>
    </row>
    <row r="88" spans="1:22" x14ac:dyDescent="0.2">
      <c r="A88" s="110"/>
      <c r="B88" s="111"/>
      <c r="C88" s="112">
        <f>C87+'SPlanar TH'!$H$35</f>
        <v>44.350000000000009</v>
      </c>
      <c r="D88" s="112">
        <f>D48</f>
        <v>89.6</v>
      </c>
      <c r="E88" s="113"/>
      <c r="F88" s="114">
        <f>IF('SPlanar TH'!$I$19="x",C88,$C$6)</f>
        <v>44.350000000000009</v>
      </c>
      <c r="G88" s="114">
        <f>IF('SPlanar TH'!$I$19="x",D88,$D$6)</f>
        <v>89.6</v>
      </c>
      <c r="H88" s="113"/>
      <c r="I88" s="112">
        <f t="shared" ref="I88:J91" si="13">C87-C88</f>
        <v>0</v>
      </c>
      <c r="J88" s="112">
        <f t="shared" si="13"/>
        <v>-77</v>
      </c>
      <c r="K88" s="112">
        <f>(I88^2+J88^2)^0.5</f>
        <v>77</v>
      </c>
      <c r="L88" s="112"/>
      <c r="M88" s="115"/>
      <c r="N88" s="11"/>
      <c r="O88" s="11"/>
      <c r="P88" s="11"/>
      <c r="Q88" s="11"/>
      <c r="R88" s="11"/>
      <c r="S88" s="11"/>
      <c r="T88" s="11"/>
      <c r="U88" s="11"/>
      <c r="V88" s="11"/>
    </row>
    <row r="89" spans="1:22" x14ac:dyDescent="0.2">
      <c r="A89" s="110"/>
      <c r="B89" s="111"/>
      <c r="C89" s="112">
        <f>C88+'SPlanar TH'!$D$28</f>
        <v>46.250000000000007</v>
      </c>
      <c r="D89" s="112">
        <f>D88</f>
        <v>89.6</v>
      </c>
      <c r="E89" s="113"/>
      <c r="F89" s="114">
        <f>IF('SPlanar TH'!$I$19="x",C89,$C$6)</f>
        <v>46.250000000000007</v>
      </c>
      <c r="G89" s="114">
        <f>IF('SPlanar TH'!$I$19="x",D89,$D$6)</f>
        <v>89.6</v>
      </c>
      <c r="H89" s="113"/>
      <c r="I89" s="112">
        <f t="shared" si="13"/>
        <v>-1.8999999999999986</v>
      </c>
      <c r="J89" s="112">
        <f t="shared" si="13"/>
        <v>0</v>
      </c>
      <c r="K89" s="112">
        <f>(I89^2+J89^2)^0.5</f>
        <v>1.8999999999999986</v>
      </c>
      <c r="L89" s="112"/>
      <c r="M89" s="115"/>
      <c r="N89" s="11"/>
      <c r="O89" s="11"/>
      <c r="P89" s="11"/>
      <c r="Q89" s="11"/>
      <c r="R89" s="11"/>
      <c r="S89" s="11"/>
      <c r="T89" s="11"/>
      <c r="U89" s="11"/>
      <c r="V89" s="11"/>
    </row>
    <row r="90" spans="1:22" x14ac:dyDescent="0.2">
      <c r="A90" s="110"/>
      <c r="B90" s="111"/>
      <c r="C90" s="112">
        <f>C89</f>
        <v>46.250000000000007</v>
      </c>
      <c r="D90" s="112">
        <f>D87</f>
        <v>12.600000000000001</v>
      </c>
      <c r="E90" s="113"/>
      <c r="F90" s="114">
        <f>IF('SPlanar TH'!$I$19="x",C90,$C$6)</f>
        <v>46.250000000000007</v>
      </c>
      <c r="G90" s="114">
        <f>IF('SPlanar TH'!$I$19="x",D90,$D$6)</f>
        <v>12.600000000000001</v>
      </c>
      <c r="H90" s="113"/>
      <c r="I90" s="112">
        <f t="shared" si="13"/>
        <v>0</v>
      </c>
      <c r="J90" s="112">
        <f t="shared" si="13"/>
        <v>77</v>
      </c>
      <c r="K90" s="112">
        <f>(I90^2+J90^2)^0.5</f>
        <v>77</v>
      </c>
      <c r="L90" s="112"/>
      <c r="M90" s="115"/>
      <c r="N90" s="11"/>
      <c r="O90" s="11"/>
      <c r="P90" s="11"/>
      <c r="Q90" s="11"/>
      <c r="R90" s="11"/>
      <c r="S90" s="11"/>
      <c r="T90" s="11"/>
      <c r="U90" s="11"/>
      <c r="V90" s="11"/>
    </row>
    <row r="91" spans="1:22" x14ac:dyDescent="0.2">
      <c r="A91" s="116"/>
      <c r="B91" s="117"/>
      <c r="C91" s="118">
        <f>C87</f>
        <v>44.350000000000009</v>
      </c>
      <c r="D91" s="118">
        <f>D90</f>
        <v>12.600000000000001</v>
      </c>
      <c r="E91" s="117"/>
      <c r="F91" s="119">
        <f>IF('SPlanar TH'!$I$19="x",C91,$C$6)</f>
        <v>44.350000000000009</v>
      </c>
      <c r="G91" s="119">
        <f>IF('SPlanar TH'!$I$19="x",D91,$D$6)</f>
        <v>12.600000000000001</v>
      </c>
      <c r="H91" s="117"/>
      <c r="I91" s="120">
        <f t="shared" si="13"/>
        <v>1.8999999999999986</v>
      </c>
      <c r="J91" s="120">
        <f t="shared" si="13"/>
        <v>0</v>
      </c>
      <c r="K91" s="120">
        <f>(I91^2+J91^2)^0.5</f>
        <v>1.8999999999999986</v>
      </c>
      <c r="L91" s="117"/>
      <c r="M91" s="121"/>
      <c r="N91" s="11"/>
      <c r="O91" s="11"/>
      <c r="P91" s="11"/>
      <c r="Q91" s="11"/>
      <c r="R91" s="11"/>
      <c r="S91" s="11"/>
      <c r="T91" s="11"/>
      <c r="U91" s="11"/>
      <c r="V91" s="11"/>
    </row>
    <row r="92" spans="1:22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2" x14ac:dyDescent="0.2">
      <c r="A93" s="125" t="s">
        <v>70</v>
      </c>
      <c r="B93" s="126"/>
      <c r="C93" s="127">
        <f>(C28+C27)/2</f>
        <v>71.75</v>
      </c>
      <c r="D93" s="127">
        <f>D52</f>
        <v>12.600000000000001</v>
      </c>
      <c r="E93" s="128"/>
      <c r="F93" s="129">
        <f>C93</f>
        <v>71.75</v>
      </c>
      <c r="G93" s="129">
        <f>D93</f>
        <v>12.600000000000001</v>
      </c>
      <c r="H93" s="128"/>
      <c r="I93" s="127"/>
      <c r="J93" s="127"/>
      <c r="K93" s="127"/>
      <c r="L93" s="127"/>
      <c r="M93" s="130"/>
      <c r="N93" s="11"/>
      <c r="O93" s="11"/>
      <c r="P93" s="11"/>
      <c r="Q93" s="11"/>
      <c r="R93" s="11"/>
      <c r="S93" s="11"/>
      <c r="T93" s="11"/>
      <c r="U93" s="11"/>
      <c r="V93" s="11"/>
    </row>
    <row r="94" spans="1:22" x14ac:dyDescent="0.2">
      <c r="A94" s="131"/>
      <c r="B94" s="132"/>
      <c r="C94" s="133">
        <f>C93</f>
        <v>71.75</v>
      </c>
      <c r="D94" s="133">
        <f>D27</f>
        <v>91.5</v>
      </c>
      <c r="E94" s="132"/>
      <c r="F94" s="134">
        <f>C94</f>
        <v>71.75</v>
      </c>
      <c r="G94" s="134">
        <f>D94</f>
        <v>91.5</v>
      </c>
      <c r="H94" s="132"/>
      <c r="I94" s="135"/>
      <c r="J94" s="135"/>
      <c r="K94" s="135"/>
      <c r="L94" s="132"/>
      <c r="M94" s="136"/>
      <c r="N94" s="11"/>
      <c r="O94" s="11"/>
      <c r="P94" s="11"/>
      <c r="Q94" s="11"/>
      <c r="R94" s="11"/>
      <c r="S94" s="11"/>
      <c r="T94" s="11"/>
      <c r="U94" s="11"/>
      <c r="V94" s="11"/>
    </row>
    <row r="95" spans="1:22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x14ac:dyDescent="0.2">
      <c r="A96" s="125" t="s">
        <v>68</v>
      </c>
      <c r="B96" s="126"/>
      <c r="C96" s="127">
        <f>C29</f>
        <v>0</v>
      </c>
      <c r="D96" s="127">
        <f>D29</f>
        <v>0</v>
      </c>
      <c r="E96" s="128"/>
      <c r="F96" s="129">
        <f>C96</f>
        <v>0</v>
      </c>
      <c r="G96" s="129">
        <f>D96</f>
        <v>0</v>
      </c>
      <c r="H96" s="128"/>
      <c r="I96" s="127"/>
      <c r="J96" s="127"/>
      <c r="K96" s="127"/>
      <c r="L96" s="127"/>
      <c r="M96" s="130"/>
      <c r="N96" s="11"/>
      <c r="O96" s="11"/>
      <c r="P96" s="11"/>
      <c r="Q96" s="11"/>
      <c r="R96" s="11"/>
      <c r="S96" s="11"/>
      <c r="T96" s="11"/>
      <c r="U96" s="11"/>
      <c r="V96" s="11"/>
    </row>
    <row r="97" spans="1:22" x14ac:dyDescent="0.2">
      <c r="A97" s="131"/>
      <c r="B97" s="132"/>
      <c r="C97" s="133">
        <f>C96</f>
        <v>0</v>
      </c>
      <c r="D97" s="133">
        <f>MAX(C9:D49)</f>
        <v>143.5</v>
      </c>
      <c r="E97" s="132"/>
      <c r="F97" s="134">
        <f>C97</f>
        <v>0</v>
      </c>
      <c r="G97" s="134">
        <f>D97</f>
        <v>143.5</v>
      </c>
      <c r="H97" s="132"/>
      <c r="I97" s="135"/>
      <c r="J97" s="135"/>
      <c r="K97" s="135"/>
      <c r="L97" s="132"/>
      <c r="M97" s="136"/>
      <c r="N97" s="11"/>
      <c r="O97" s="11"/>
      <c r="P97" s="11"/>
      <c r="Q97" s="11"/>
      <c r="R97" s="11"/>
      <c r="S97" s="11"/>
      <c r="T97" s="11"/>
      <c r="U97" s="11"/>
      <c r="V97" s="11"/>
    </row>
    <row r="98" spans="1:22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x14ac:dyDescent="0.2">
      <c r="A99" s="125" t="s">
        <v>67</v>
      </c>
      <c r="B99" s="126"/>
      <c r="C99" s="127">
        <f>C96</f>
        <v>0</v>
      </c>
      <c r="D99" s="127">
        <f>D96</f>
        <v>0</v>
      </c>
      <c r="E99" s="128"/>
      <c r="F99" s="129">
        <f>C99</f>
        <v>0</v>
      </c>
      <c r="G99" s="129">
        <f>D99</f>
        <v>0</v>
      </c>
      <c r="H99" s="128"/>
      <c r="I99" s="127"/>
      <c r="J99" s="127"/>
      <c r="K99" s="127"/>
      <c r="L99" s="127"/>
      <c r="M99" s="130"/>
      <c r="N99" s="11"/>
      <c r="O99" s="11"/>
      <c r="P99" s="11"/>
      <c r="Q99" s="11"/>
      <c r="R99" s="11"/>
      <c r="S99" s="11"/>
      <c r="T99" s="11"/>
      <c r="U99" s="11"/>
      <c r="V99" s="11"/>
    </row>
    <row r="100" spans="1:22" x14ac:dyDescent="0.2">
      <c r="A100" s="131"/>
      <c r="B100" s="132"/>
      <c r="C100" s="133">
        <f>D97</f>
        <v>143.5</v>
      </c>
      <c r="D100" s="133">
        <f>C97</f>
        <v>0</v>
      </c>
      <c r="E100" s="132"/>
      <c r="F100" s="134">
        <f>C100</f>
        <v>143.5</v>
      </c>
      <c r="G100" s="134">
        <f>D100</f>
        <v>0</v>
      </c>
      <c r="H100" s="132"/>
      <c r="I100" s="135"/>
      <c r="J100" s="135"/>
      <c r="K100" s="135"/>
      <c r="L100" s="132"/>
      <c r="M100" s="136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2"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2"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2"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2"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2"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2"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2"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2"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2"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2"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"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2"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2"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2"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2"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2"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2"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2"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2"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2"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2"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2"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2"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2"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2">
      <c r="A127" s="11"/>
      <c r="B127" s="11"/>
      <c r="C127" s="13" t="s">
        <v>3</v>
      </c>
      <c r="D127" s="13" t="s">
        <v>4</v>
      </c>
      <c r="E127" s="13" t="s">
        <v>5</v>
      </c>
      <c r="F127" s="13" t="s">
        <v>6</v>
      </c>
      <c r="G127" s="13" t="s">
        <v>27</v>
      </c>
      <c r="H127" s="13" t="s">
        <v>37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2">
      <c r="A128" s="11"/>
      <c r="B128" s="11"/>
      <c r="C128" s="14">
        <f>C52</f>
        <v>99.15</v>
      </c>
      <c r="D128" s="14">
        <f>D52</f>
        <v>12.600000000000001</v>
      </c>
      <c r="E128" s="13"/>
      <c r="F128" s="13"/>
      <c r="G128" s="13"/>
      <c r="H128" s="1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2">
      <c r="A129" s="11"/>
      <c r="B129" s="11"/>
      <c r="C129" s="14">
        <f>C53</f>
        <v>44.350000000000009</v>
      </c>
      <c r="D129" s="14">
        <f>D53</f>
        <v>12.600000000000001</v>
      </c>
      <c r="E129" s="14">
        <f>C128-C129</f>
        <v>54.8</v>
      </c>
      <c r="F129" s="14">
        <f>D128-D129</f>
        <v>0</v>
      </c>
      <c r="G129" s="14">
        <f>(E129^2+F129^2)^0.5</f>
        <v>54.8</v>
      </c>
      <c r="H129" s="15">
        <f>F129/E129</f>
        <v>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2">
      <c r="A130" s="11"/>
      <c r="B130" s="11"/>
      <c r="C130" s="14"/>
      <c r="D130" s="14"/>
      <c r="E130" s="13"/>
      <c r="F130" s="13"/>
      <c r="G130" s="13"/>
      <c r="H130" s="1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2">
      <c r="A131" s="11"/>
      <c r="B131" s="11"/>
      <c r="C131" s="15"/>
      <c r="D131" s="14"/>
      <c r="E131" s="13"/>
      <c r="F131" s="13"/>
      <c r="G131" s="14"/>
      <c r="H131" s="1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2">
      <c r="A132" s="11"/>
      <c r="B132" s="11"/>
      <c r="C132" s="13"/>
      <c r="D132" s="13"/>
      <c r="E132" s="13"/>
      <c r="F132" s="13"/>
      <c r="G132" s="14"/>
      <c r="H132" s="1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2">
      <c r="A133" s="11"/>
      <c r="B133" s="11"/>
      <c r="C133" s="13"/>
      <c r="D133" s="13"/>
      <c r="E133" s="13" t="str">
        <f>'SPlanar TH'!I7</f>
        <v>x</v>
      </c>
      <c r="F133" s="13"/>
      <c r="G133" s="14"/>
      <c r="H133" s="1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2">
      <c r="A134" s="11"/>
      <c r="B134" s="11"/>
      <c r="C134" s="14">
        <f>C135+('SPlanar TH'!$D$4*COS(ATAN($H$129)))/2+C131</f>
        <v>94.75</v>
      </c>
      <c r="D134" s="14">
        <f>D135+('SPlanar TH'!$D$4*SIN(ATAN($H$129)))/2</f>
        <v>12.600000000000001</v>
      </c>
      <c r="E134" s="138" t="str">
        <f t="shared" ref="E134:E139" si="14">$E$133</f>
        <v>x</v>
      </c>
      <c r="F134" s="14">
        <f>IF(E134="x",C134,"")</f>
        <v>94.75</v>
      </c>
      <c r="G134" s="14">
        <f>IF(E134="x",D134,"")</f>
        <v>12.600000000000001</v>
      </c>
      <c r="H134" s="1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2">
      <c r="A135" s="11"/>
      <c r="B135" s="11"/>
      <c r="C135" s="14">
        <f>(C53+C52)/2</f>
        <v>71.75</v>
      </c>
      <c r="D135" s="14">
        <f>D128-(F129*'SPlanar TH'!D17/G129)-D131</f>
        <v>12.600000000000001</v>
      </c>
      <c r="E135" s="138" t="str">
        <f t="shared" si="14"/>
        <v>x</v>
      </c>
      <c r="F135" s="14">
        <f t="shared" ref="F135:F139" si="15">IF(E135="x",C135,"")</f>
        <v>71.75</v>
      </c>
      <c r="G135" s="14">
        <f t="shared" ref="G135:G139" si="16">IF(E135="x",D135,"")</f>
        <v>12.600000000000001</v>
      </c>
      <c r="H135" s="13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2">
      <c r="A136" s="11"/>
      <c r="B136" s="11"/>
      <c r="C136" s="14">
        <f>C135+'SPlanar TH'!$D$6*SIN(ATAN($H$129))</f>
        <v>71.75</v>
      </c>
      <c r="D136" s="14">
        <f>D135+'SPlanar TH'!$D$6*COS(ATAN($H$129))</f>
        <v>37.400000000000006</v>
      </c>
      <c r="E136" s="138" t="str">
        <f t="shared" si="14"/>
        <v>x</v>
      </c>
      <c r="F136" s="14">
        <f t="shared" si="15"/>
        <v>71.75</v>
      </c>
      <c r="G136" s="14">
        <f t="shared" si="16"/>
        <v>37.400000000000006</v>
      </c>
      <c r="H136" s="1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2">
      <c r="A137" s="11"/>
      <c r="B137" s="11"/>
      <c r="C137" s="14">
        <f>C136+'SPlanar TH'!$D$7*COS(ATAN($H$129))/2</f>
        <v>79.25</v>
      </c>
      <c r="D137" s="14">
        <f>D136+'SPlanar TH'!$D$7*SIN(ATAN($H$129))/2</f>
        <v>37.400000000000006</v>
      </c>
      <c r="E137" s="138" t="str">
        <f t="shared" si="14"/>
        <v>x</v>
      </c>
      <c r="F137" s="14">
        <f t="shared" si="15"/>
        <v>79.25</v>
      </c>
      <c r="G137" s="14">
        <f t="shared" si="16"/>
        <v>37.400000000000006</v>
      </c>
      <c r="H137" s="1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2">
      <c r="A138" s="11"/>
      <c r="B138" s="11"/>
      <c r="C138" s="14">
        <f>C137-'SPlanar TH'!$D$8*SIN(ATAN($H$129))</f>
        <v>79.25</v>
      </c>
      <c r="D138" s="14">
        <f>D137-'SPlanar TH'!$D$8*COS(ATAN($H$129))</f>
        <v>27.400000000000006</v>
      </c>
      <c r="E138" s="138" t="str">
        <f t="shared" si="14"/>
        <v>x</v>
      </c>
      <c r="F138" s="14">
        <f t="shared" si="15"/>
        <v>79.25</v>
      </c>
      <c r="G138" s="14">
        <f t="shared" si="16"/>
        <v>27.400000000000006</v>
      </c>
      <c r="H138" s="1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2">
      <c r="A139" s="11"/>
      <c r="B139" s="11"/>
      <c r="C139" s="14">
        <f>C135+'SPlanar TH'!$D$5*COS(ATAN($H$129))/2</f>
        <v>92.85</v>
      </c>
      <c r="D139" s="14">
        <f>D135+('SPlanar TH'!$D$5)*SIN(ATAN($H$129))/2</f>
        <v>12.600000000000001</v>
      </c>
      <c r="E139" s="138" t="str">
        <f t="shared" si="14"/>
        <v>x</v>
      </c>
      <c r="F139" s="14">
        <f t="shared" si="15"/>
        <v>92.85</v>
      </c>
      <c r="G139" s="14">
        <f t="shared" si="16"/>
        <v>12.600000000000001</v>
      </c>
      <c r="H139" s="13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2">
      <c r="A140" s="11"/>
      <c r="B140" s="11"/>
      <c r="C140" s="14"/>
      <c r="D140" s="13"/>
      <c r="F140" s="14"/>
      <c r="G140" s="14"/>
      <c r="H140" s="13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2">
      <c r="A141" s="11"/>
      <c r="B141" s="11"/>
      <c r="C141" s="14">
        <f>C142-('SPlanar TH'!$D$4*COS(ATAN($H$129)))/2</f>
        <v>48.75</v>
      </c>
      <c r="D141" s="14">
        <f>D142-('SPlanar TH'!$D$4*SIN(ATAN($H$129)))/2</f>
        <v>12.600000000000001</v>
      </c>
      <c r="E141" s="138" t="str">
        <f t="shared" ref="E141:E146" si="17">$E$133</f>
        <v>x</v>
      </c>
      <c r="F141" s="14">
        <f t="shared" ref="F141:F146" si="18">IF(E141="x",C141,"")</f>
        <v>48.75</v>
      </c>
      <c r="G141" s="14">
        <f t="shared" ref="G141:G146" si="19">IF(E141="x",D141,"")</f>
        <v>12.600000000000001</v>
      </c>
      <c r="H141" s="1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2">
      <c r="A142" s="11"/>
      <c r="B142" s="11"/>
      <c r="C142" s="14">
        <f>C135</f>
        <v>71.75</v>
      </c>
      <c r="D142" s="14">
        <f>D135</f>
        <v>12.600000000000001</v>
      </c>
      <c r="E142" s="138" t="str">
        <f t="shared" si="17"/>
        <v>x</v>
      </c>
      <c r="F142" s="14">
        <f t="shared" si="18"/>
        <v>71.75</v>
      </c>
      <c r="G142" s="14">
        <f t="shared" si="19"/>
        <v>12.600000000000001</v>
      </c>
      <c r="H142" s="13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2">
      <c r="A143" s="11"/>
      <c r="B143" s="11"/>
      <c r="C143" s="14">
        <f>C136</f>
        <v>71.75</v>
      </c>
      <c r="D143" s="14">
        <f>D136</f>
        <v>37.400000000000006</v>
      </c>
      <c r="E143" s="138" t="str">
        <f t="shared" si="17"/>
        <v>x</v>
      </c>
      <c r="F143" s="14">
        <f t="shared" si="18"/>
        <v>71.75</v>
      </c>
      <c r="G143" s="14">
        <f t="shared" si="19"/>
        <v>37.400000000000006</v>
      </c>
      <c r="H143" s="13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2">
      <c r="A144" s="11"/>
      <c r="B144" s="11"/>
      <c r="C144" s="14">
        <f>C143-'SPlanar TH'!$D$7*COS(ATAN($H$129))/2</f>
        <v>64.25</v>
      </c>
      <c r="D144" s="14">
        <f>D143-'SPlanar TH'!$D$7*SIN(ATAN($H$129))/2</f>
        <v>37.400000000000006</v>
      </c>
      <c r="E144" s="138" t="str">
        <f t="shared" si="17"/>
        <v>x</v>
      </c>
      <c r="F144" s="14">
        <f t="shared" si="18"/>
        <v>64.25</v>
      </c>
      <c r="G144" s="14">
        <f t="shared" si="19"/>
        <v>37.400000000000006</v>
      </c>
      <c r="H144" s="13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2">
      <c r="A145" s="11"/>
      <c r="B145" s="11"/>
      <c r="C145" s="14">
        <f>C144-'SPlanar TH'!$D$8*SIN(ATAN($H$129))</f>
        <v>64.25</v>
      </c>
      <c r="D145" s="14">
        <f>D144-'SPlanar TH'!$D$8*COS(ATAN($H$129))</f>
        <v>27.400000000000006</v>
      </c>
      <c r="E145" s="138" t="str">
        <f t="shared" si="17"/>
        <v>x</v>
      </c>
      <c r="F145" s="14">
        <f t="shared" si="18"/>
        <v>64.25</v>
      </c>
      <c r="G145" s="14">
        <f t="shared" si="19"/>
        <v>27.400000000000006</v>
      </c>
      <c r="H145" s="13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2">
      <c r="A146" s="11"/>
      <c r="B146" s="11"/>
      <c r="C146" s="14">
        <f>C142-'SPlanar TH'!$D$5*COS(ATAN($H$129))/2</f>
        <v>50.65</v>
      </c>
      <c r="D146" s="14">
        <f>D142-('SPlanar TH'!$D$5)*SIN(ATAN($H$129))/2</f>
        <v>12.600000000000001</v>
      </c>
      <c r="E146" s="138" t="str">
        <f t="shared" si="17"/>
        <v>x</v>
      </c>
      <c r="F146" s="14">
        <f t="shared" si="18"/>
        <v>50.65</v>
      </c>
      <c r="G146" s="14">
        <f t="shared" si="19"/>
        <v>12.600000000000001</v>
      </c>
      <c r="H146" s="13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2">
      <c r="A147" s="11"/>
      <c r="B147" s="11"/>
      <c r="C147" s="14"/>
      <c r="D147" s="13"/>
      <c r="F147" s="14"/>
      <c r="G147" s="14"/>
      <c r="H147" s="13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2">
      <c r="A148" s="11"/>
      <c r="B148" s="11"/>
      <c r="C148" s="14">
        <f>C145</f>
        <v>64.25</v>
      </c>
      <c r="D148" s="14">
        <f>D145</f>
        <v>27.400000000000006</v>
      </c>
      <c r="E148" s="138" t="str">
        <f>$E$133</f>
        <v>x</v>
      </c>
      <c r="F148" s="14">
        <f t="shared" ref="F148:F149" si="20">IF(E148="x",C148,"")</f>
        <v>64.25</v>
      </c>
      <c r="G148" s="14">
        <f t="shared" ref="G148:G149" si="21">IF(E148="x",D148,"")</f>
        <v>27.400000000000006</v>
      </c>
      <c r="H148" s="13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2">
      <c r="A149" s="11"/>
      <c r="B149" s="11"/>
      <c r="C149" s="14">
        <f>C138</f>
        <v>79.25</v>
      </c>
      <c r="D149" s="14">
        <f>D138</f>
        <v>27.400000000000006</v>
      </c>
      <c r="E149" s="138" t="str">
        <f>$E$133</f>
        <v>x</v>
      </c>
      <c r="F149" s="14">
        <f t="shared" si="20"/>
        <v>79.25</v>
      </c>
      <c r="G149" s="14">
        <f t="shared" si="21"/>
        <v>27.400000000000006</v>
      </c>
      <c r="H149" s="13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AH155"/>
  <sheetViews>
    <sheetView topLeftCell="A34" workbookViewId="0">
      <selection activeCell="D89" sqref="D89"/>
    </sheetView>
  </sheetViews>
  <sheetFormatPr defaultRowHeight="11.25" x14ac:dyDescent="0.2"/>
  <cols>
    <col min="1" max="16384" width="9.140625" style="9"/>
  </cols>
  <sheetData>
    <row r="3" spans="1:34" x14ac:dyDescent="0.2">
      <c r="P3" s="189" t="s">
        <v>117</v>
      </c>
      <c r="Q3" s="190" t="s">
        <v>49</v>
      </c>
      <c r="R3" s="189" t="s">
        <v>50</v>
      </c>
      <c r="S3" s="189" t="s">
        <v>118</v>
      </c>
      <c r="T3" s="191" t="s">
        <v>119</v>
      </c>
      <c r="U3" s="189" t="s">
        <v>49</v>
      </c>
      <c r="V3" s="189" t="s">
        <v>50</v>
      </c>
      <c r="W3" s="189" t="s">
        <v>118</v>
      </c>
    </row>
    <row r="4" spans="1:34" x14ac:dyDescent="0.2">
      <c r="O4" s="192">
        <v>1</v>
      </c>
      <c r="P4" s="193">
        <f>'SPlanar TH'!H34</f>
        <v>4.4918920693090474</v>
      </c>
      <c r="Q4" s="194">
        <f>COS(P4*PI()/180)</f>
        <v>0.9969284265047943</v>
      </c>
      <c r="R4" s="195">
        <f>SIN(P4*PI()/180)</f>
        <v>7.8318021085028139E-2</v>
      </c>
      <c r="S4" s="195">
        <f>TAN(P4*PI()/180)</f>
        <v>7.8559321815718633E-2</v>
      </c>
      <c r="T4" s="195">
        <f>P4/2</f>
        <v>2.2459460346545237</v>
      </c>
      <c r="U4" s="195">
        <f>COS(T4*PI()/180)</f>
        <v>0.99923181156946617</v>
      </c>
      <c r="V4" s="195">
        <f>SIN(T4*PI()/180)</f>
        <v>3.9189115167388516E-2</v>
      </c>
      <c r="W4" s="195">
        <f>TAN(T4*PI()/180)</f>
        <v>3.9219242936066295E-2</v>
      </c>
    </row>
    <row r="6" spans="1:34" x14ac:dyDescent="0.2">
      <c r="D6" s="4" t="s">
        <v>56</v>
      </c>
      <c r="E6" s="4" t="s">
        <v>1</v>
      </c>
      <c r="F6" s="4" t="s">
        <v>74</v>
      </c>
      <c r="G6" s="4" t="s">
        <v>18</v>
      </c>
      <c r="H6" s="4" t="s">
        <v>4</v>
      </c>
    </row>
    <row r="7" spans="1:34" x14ac:dyDescent="0.2">
      <c r="C7" s="1" t="s">
        <v>19</v>
      </c>
      <c r="D7" s="157">
        <f>Q18</f>
        <v>1006.7200000000001</v>
      </c>
      <c r="E7" s="9">
        <v>0</v>
      </c>
      <c r="F7" s="168">
        <f t="shared" ref="F7:F12" si="0">$O$14</f>
        <v>57.2</v>
      </c>
      <c r="H7" s="168">
        <f t="shared" ref="H7:H9" si="1">D7/F7</f>
        <v>17.600000000000001</v>
      </c>
    </row>
    <row r="8" spans="1:34" x14ac:dyDescent="0.2">
      <c r="C8" s="1" t="s">
        <v>53</v>
      </c>
      <c r="D8" s="157">
        <f>Q57</f>
        <v>1006.7208086619752</v>
      </c>
      <c r="E8" s="168">
        <f>N57</f>
        <v>120.64912145963081</v>
      </c>
      <c r="F8" s="168">
        <f t="shared" si="0"/>
        <v>57.2</v>
      </c>
      <c r="G8" s="168">
        <f>E8-E7</f>
        <v>120.64912145963081</v>
      </c>
      <c r="H8" s="168">
        <f t="shared" si="1"/>
        <v>17.600014137447118</v>
      </c>
      <c r="I8" s="168">
        <f>ATAN((H8-H7)/(E8-E7))*180/PI()</f>
        <v>6.713816421476053E-6</v>
      </c>
    </row>
    <row r="9" spans="1:34" x14ac:dyDescent="0.2">
      <c r="C9" s="1" t="s">
        <v>73</v>
      </c>
      <c r="D9" s="157">
        <f>Q84</f>
        <v>2495.5205266131943</v>
      </c>
      <c r="E9" s="168">
        <f>N84</f>
        <v>286.56236437515975</v>
      </c>
      <c r="F9" s="168">
        <f t="shared" si="0"/>
        <v>57.2</v>
      </c>
      <c r="G9" s="168">
        <f>E9-E8</f>
        <v>165.91324291552894</v>
      </c>
      <c r="H9" s="168">
        <f t="shared" si="1"/>
        <v>43.627981234496403</v>
      </c>
      <c r="I9" s="168">
        <f>(ATAN((H9-H8)/(E9-E8))*180/PI())/2</f>
        <v>4.4578612494491283</v>
      </c>
      <c r="J9" s="168">
        <f>I9-'SPlanar TH'!H34</f>
        <v>-3.403081985991907E-2</v>
      </c>
    </row>
    <row r="11" spans="1:34" x14ac:dyDescent="0.2">
      <c r="C11" s="1" t="s">
        <v>75</v>
      </c>
      <c r="D11" s="157">
        <f>Q90</f>
        <v>2917.2</v>
      </c>
      <c r="E11" s="168">
        <f>N90</f>
        <v>0</v>
      </c>
      <c r="F11" s="168">
        <f t="shared" si="0"/>
        <v>57.2</v>
      </c>
      <c r="G11" s="168">
        <f>E11</f>
        <v>0</v>
      </c>
      <c r="H11" s="168">
        <f>D11/F11</f>
        <v>50.999999999999993</v>
      </c>
      <c r="I11" s="168"/>
    </row>
    <row r="12" spans="1:34" x14ac:dyDescent="0.2">
      <c r="C12" s="1" t="s">
        <v>127</v>
      </c>
      <c r="D12" s="169">
        <f>Q93</f>
        <v>2917.2</v>
      </c>
      <c r="E12" s="168">
        <f>N93</f>
        <v>78.900000000000006</v>
      </c>
      <c r="F12" s="168">
        <f t="shared" si="0"/>
        <v>57.2</v>
      </c>
      <c r="G12" s="168">
        <f>E12-E11</f>
        <v>78.900000000000006</v>
      </c>
      <c r="H12" s="168">
        <f>D12/F12</f>
        <v>50.999999999999993</v>
      </c>
      <c r="I12" s="168">
        <f>ATAN((H12-H11)/(E12-E11))*180/PI()</f>
        <v>0</v>
      </c>
    </row>
    <row r="13" spans="1:34" x14ac:dyDescent="0.2">
      <c r="O13" s="170" t="s">
        <v>74</v>
      </c>
      <c r="P13" s="170"/>
    </row>
    <row r="14" spans="1:34" x14ac:dyDescent="0.2">
      <c r="O14" s="168">
        <f>'SPlanar TH'!D32</f>
        <v>57.2</v>
      </c>
      <c r="P14" s="168"/>
    </row>
    <row r="15" spans="1:34" x14ac:dyDescent="0.2">
      <c r="A15" s="10" t="s">
        <v>51</v>
      </c>
      <c r="B15" s="103"/>
      <c r="C15" s="22" t="s">
        <v>3</v>
      </c>
      <c r="D15" s="22" t="s">
        <v>4</v>
      </c>
      <c r="E15" s="103"/>
      <c r="F15" s="22" t="s">
        <v>3</v>
      </c>
      <c r="G15" s="22" t="s">
        <v>4</v>
      </c>
      <c r="H15" s="103"/>
      <c r="I15" s="22" t="s">
        <v>18</v>
      </c>
      <c r="J15" s="22" t="s">
        <v>3</v>
      </c>
      <c r="K15" s="22" t="s">
        <v>4</v>
      </c>
      <c r="L15" s="10" t="s">
        <v>52</v>
      </c>
      <c r="M15" s="22" t="s">
        <v>18</v>
      </c>
      <c r="N15" s="10" t="s">
        <v>1</v>
      </c>
      <c r="O15" s="10" t="s">
        <v>74</v>
      </c>
      <c r="P15" s="10" t="s">
        <v>7</v>
      </c>
      <c r="Q15" s="10" t="s">
        <v>56</v>
      </c>
      <c r="R15" s="103"/>
      <c r="S15" s="103"/>
      <c r="T15" s="103" t="s">
        <v>83</v>
      </c>
      <c r="U15" s="103"/>
      <c r="V15" s="103"/>
      <c r="Y15" s="196" t="s">
        <v>120</v>
      </c>
      <c r="Z15" s="189" t="s">
        <v>121</v>
      </c>
      <c r="AA15" s="189" t="s">
        <v>122</v>
      </c>
      <c r="AB15" s="189" t="s">
        <v>123</v>
      </c>
      <c r="AC15" s="189" t="s">
        <v>124</v>
      </c>
      <c r="AD15" s="189" t="s">
        <v>125</v>
      </c>
      <c r="AE15" s="189" t="s">
        <v>126</v>
      </c>
      <c r="AF15" s="189" t="s">
        <v>3</v>
      </c>
      <c r="AG15" s="189" t="s">
        <v>4</v>
      </c>
      <c r="AH15" s="189" t="s">
        <v>27</v>
      </c>
    </row>
    <row r="16" spans="1:34" x14ac:dyDescent="0.2">
      <c r="A16" s="103"/>
      <c r="B16" s="103"/>
      <c r="C16" s="143">
        <f>Panels!C22</f>
        <v>72.7</v>
      </c>
      <c r="D16" s="144">
        <f>Panels!D22</f>
        <v>10.700000000000001</v>
      </c>
      <c r="E16" s="145"/>
      <c r="F16" s="144">
        <f>IF('SPlanar TH'!$I$6="x",C16,0)</f>
        <v>72.7</v>
      </c>
      <c r="G16" s="144">
        <f>IF('SPlanar TH'!$I$6="x",D16,0)</f>
        <v>10.700000000000001</v>
      </c>
      <c r="H16" s="144">
        <f>SUM(C16:C17)/2</f>
        <v>72.7</v>
      </c>
      <c r="I16" s="144">
        <f>SUM(D16:D17)/2</f>
        <v>6.3000000000000007</v>
      </c>
      <c r="J16" s="144">
        <f>IF('SPlanar TH'!$I$5="x",H16,0)</f>
        <v>72.7</v>
      </c>
      <c r="K16" s="144">
        <f>IF('SPlanar TH'!$I$5="x",I16,0)</f>
        <v>6.3000000000000007</v>
      </c>
      <c r="L16" s="145"/>
      <c r="M16" s="145"/>
      <c r="N16" s="145"/>
      <c r="O16" s="145"/>
      <c r="P16" s="144"/>
      <c r="Q16" s="146"/>
      <c r="R16" s="173"/>
      <c r="S16" s="173"/>
      <c r="T16" s="173"/>
      <c r="U16" s="173"/>
      <c r="V16" s="173"/>
    </row>
    <row r="17" spans="1:22" x14ac:dyDescent="0.2">
      <c r="A17" s="1">
        <f t="shared" ref="A17:A74" si="2">A20+1</f>
        <v>23</v>
      </c>
      <c r="B17" s="122">
        <v>1</v>
      </c>
      <c r="C17" s="147">
        <f>Panels!C21</f>
        <v>72.7</v>
      </c>
      <c r="D17" s="148">
        <f>Panels!D21</f>
        <v>1.9</v>
      </c>
      <c r="E17" s="171" t="s">
        <v>19</v>
      </c>
      <c r="F17" s="148">
        <f>IF('SPlanar TH'!$I$6="x",C17,0)</f>
        <v>72.7</v>
      </c>
      <c r="G17" s="148">
        <f>IF('SPlanar TH'!$I$6="x",D17,0)</f>
        <v>1.9</v>
      </c>
      <c r="H17" s="148"/>
      <c r="I17" s="148"/>
      <c r="J17" s="148">
        <f>J16</f>
        <v>72.7</v>
      </c>
      <c r="K17" s="148">
        <f>K16</f>
        <v>6.3000000000000007</v>
      </c>
      <c r="L17" s="149"/>
      <c r="M17" s="149"/>
      <c r="N17" s="148"/>
      <c r="O17" s="148"/>
      <c r="P17" s="148"/>
      <c r="Q17" s="150"/>
      <c r="R17" s="173"/>
      <c r="S17" s="173"/>
      <c r="T17" s="173"/>
      <c r="U17" s="173"/>
      <c r="V17" s="173"/>
    </row>
    <row r="18" spans="1:22" x14ac:dyDescent="0.2">
      <c r="A18" s="103"/>
      <c r="B18" s="10"/>
      <c r="C18" s="151"/>
      <c r="D18" s="152"/>
      <c r="E18" s="152"/>
      <c r="F18" s="153"/>
      <c r="G18" s="154"/>
      <c r="H18" s="154"/>
      <c r="I18" s="154"/>
      <c r="J18" s="154">
        <f>J17</f>
        <v>72.7</v>
      </c>
      <c r="K18" s="154">
        <f>K17</f>
        <v>6.3000000000000007</v>
      </c>
      <c r="L18" s="155"/>
      <c r="M18" s="154">
        <v>0</v>
      </c>
      <c r="N18" s="154">
        <f>M18</f>
        <v>0</v>
      </c>
      <c r="O18" s="154">
        <f>$O$14</f>
        <v>57.2</v>
      </c>
      <c r="P18" s="154">
        <v>2</v>
      </c>
      <c r="Q18" s="156">
        <f>((C16-C17)^2+(D16-D17)^2)^0.5*O18*P18</f>
        <v>1006.7200000000001</v>
      </c>
      <c r="R18" s="174">
        <f t="shared" ref="R18:R49" si="3">Q18/2</f>
        <v>503.36000000000007</v>
      </c>
      <c r="S18" s="174">
        <f t="shared" ref="S18:S49" si="4">-R18</f>
        <v>-503.36000000000007</v>
      </c>
      <c r="T18" s="175">
        <f>(U18-R18)*2</f>
        <v>0</v>
      </c>
      <c r="U18" s="174">
        <f>($D$7)/2</f>
        <v>503.36000000000007</v>
      </c>
      <c r="V18" s="174">
        <f t="shared" ref="V18:V49" si="5">-U18</f>
        <v>-503.36000000000007</v>
      </c>
    </row>
    <row r="19" spans="1:22" x14ac:dyDescent="0.2">
      <c r="A19" s="103"/>
      <c r="B19" s="10"/>
      <c r="C19" s="143">
        <f>(C16+C22)/2</f>
        <v>85.925000000000011</v>
      </c>
      <c r="D19" s="144">
        <f>(D16+D22)/2</f>
        <v>10.700000000000001</v>
      </c>
      <c r="E19" s="145"/>
      <c r="F19" s="144">
        <f>IF('SPlanar TH'!$I$6="x",C19,0)</f>
        <v>85.925000000000011</v>
      </c>
      <c r="G19" s="144">
        <f>IF('SPlanar TH'!$I$6="x",D19,0)</f>
        <v>10.700000000000001</v>
      </c>
      <c r="H19" s="144">
        <f>SUM(C19:C20)/2</f>
        <v>85.925000000000011</v>
      </c>
      <c r="I19" s="144">
        <f>SUM(D19:D20)/2</f>
        <v>6.3000000000000007</v>
      </c>
      <c r="J19" s="144">
        <f>IF('SPlanar TH'!$I$5="x",H19,0)</f>
        <v>85.925000000000011</v>
      </c>
      <c r="K19" s="144">
        <f>IF('SPlanar TH'!$I$5="x",I19,0)</f>
        <v>6.3000000000000007</v>
      </c>
      <c r="L19" s="145"/>
      <c r="M19" s="144">
        <f>M18</f>
        <v>0</v>
      </c>
      <c r="N19" s="144">
        <f>N18</f>
        <v>0</v>
      </c>
      <c r="O19" s="144"/>
      <c r="P19" s="144"/>
      <c r="Q19" s="158">
        <f>Q18</f>
        <v>1006.7200000000001</v>
      </c>
      <c r="R19" s="174">
        <f t="shared" si="3"/>
        <v>503.36000000000007</v>
      </c>
      <c r="S19" s="174">
        <f t="shared" si="4"/>
        <v>-503.36000000000007</v>
      </c>
      <c r="T19" s="175">
        <f t="shared" ref="T19:T82" si="6">(U19-R19)*2</f>
        <v>0</v>
      </c>
      <c r="U19" s="174">
        <f t="shared" ref="U19:U57" si="7">($D$7)/2</f>
        <v>503.36000000000007</v>
      </c>
      <c r="V19" s="174">
        <f t="shared" si="5"/>
        <v>-503.36000000000007</v>
      </c>
    </row>
    <row r="20" spans="1:22" x14ac:dyDescent="0.2">
      <c r="A20" s="1">
        <f t="shared" si="2"/>
        <v>22</v>
      </c>
      <c r="B20" s="122">
        <f>B17+1</f>
        <v>2</v>
      </c>
      <c r="C20" s="147">
        <f>(C17+C23)/2</f>
        <v>85.925000000000011</v>
      </c>
      <c r="D20" s="148">
        <f>(D17+D23)/2</f>
        <v>1.9</v>
      </c>
      <c r="E20" s="171"/>
      <c r="F20" s="148">
        <f>IF('SPlanar TH'!$I$6="x",C20,0)</f>
        <v>85.925000000000011</v>
      </c>
      <c r="G20" s="148">
        <f>IF('SPlanar TH'!$I$6="x",D20,0)</f>
        <v>1.9</v>
      </c>
      <c r="H20" s="148"/>
      <c r="I20" s="148"/>
      <c r="J20" s="148">
        <f>J19</f>
        <v>85.925000000000011</v>
      </c>
      <c r="K20" s="148">
        <f>K19</f>
        <v>6.3000000000000007</v>
      </c>
      <c r="L20" s="149"/>
      <c r="M20" s="148">
        <f>M19</f>
        <v>0</v>
      </c>
      <c r="N20" s="148">
        <f>N19</f>
        <v>0</v>
      </c>
      <c r="O20" s="148"/>
      <c r="P20" s="148"/>
      <c r="Q20" s="159">
        <f>Q19</f>
        <v>1006.7200000000001</v>
      </c>
      <c r="R20" s="174">
        <f t="shared" si="3"/>
        <v>503.36000000000007</v>
      </c>
      <c r="S20" s="174">
        <f t="shared" si="4"/>
        <v>-503.36000000000007</v>
      </c>
      <c r="T20" s="175">
        <f t="shared" si="6"/>
        <v>0</v>
      </c>
      <c r="U20" s="174">
        <f t="shared" si="7"/>
        <v>503.36000000000007</v>
      </c>
      <c r="V20" s="174">
        <f t="shared" si="5"/>
        <v>-503.36000000000007</v>
      </c>
    </row>
    <row r="21" spans="1:22" x14ac:dyDescent="0.2">
      <c r="A21" s="103"/>
      <c r="B21" s="10"/>
      <c r="C21" s="160"/>
      <c r="D21" s="161"/>
      <c r="E21" s="161"/>
      <c r="F21" s="153"/>
      <c r="G21" s="154"/>
      <c r="H21" s="154"/>
      <c r="I21" s="154"/>
      <c r="J21" s="154">
        <f>J20</f>
        <v>85.925000000000011</v>
      </c>
      <c r="K21" s="154">
        <f>K20</f>
        <v>6.3000000000000007</v>
      </c>
      <c r="L21" s="161"/>
      <c r="M21" s="154">
        <f>((H19-H16)^2+(I19-I16)^2)^0.5</f>
        <v>13.225000000000009</v>
      </c>
      <c r="N21" s="154">
        <f>N18+M21</f>
        <v>13.225000000000009</v>
      </c>
      <c r="O21" s="154">
        <f>$O$14</f>
        <v>57.2</v>
      </c>
      <c r="P21" s="154">
        <v>2</v>
      </c>
      <c r="Q21" s="156">
        <f>((C19-C20)^2+(D19-D20)^2)^0.5*O21*P21</f>
        <v>1006.7200000000001</v>
      </c>
      <c r="R21" s="174">
        <f t="shared" si="3"/>
        <v>503.36000000000007</v>
      </c>
      <c r="S21" s="174">
        <f t="shared" si="4"/>
        <v>-503.36000000000007</v>
      </c>
      <c r="T21" s="175">
        <f t="shared" si="6"/>
        <v>0</v>
      </c>
      <c r="U21" s="174">
        <f t="shared" si="7"/>
        <v>503.36000000000007</v>
      </c>
      <c r="V21" s="174">
        <f t="shared" si="5"/>
        <v>-503.36000000000007</v>
      </c>
    </row>
    <row r="22" spans="1:22" x14ac:dyDescent="0.2">
      <c r="A22" s="103"/>
      <c r="B22" s="10"/>
      <c r="C22" s="143">
        <f>Panels!C51</f>
        <v>99.15</v>
      </c>
      <c r="D22" s="144">
        <f>D16</f>
        <v>10.700000000000001</v>
      </c>
      <c r="E22" s="145"/>
      <c r="F22" s="144">
        <f>IF('SPlanar TH'!$I$6="x",C22,0)</f>
        <v>99.15</v>
      </c>
      <c r="G22" s="144">
        <f>IF('SPlanar TH'!$I$6="x",D22,0)</f>
        <v>10.700000000000001</v>
      </c>
      <c r="H22" s="144">
        <f>SUM(C22:C23)/2</f>
        <v>99.15</v>
      </c>
      <c r="I22" s="144">
        <f>SUM(D22:D23)/2</f>
        <v>6.3000000000000007</v>
      </c>
      <c r="J22" s="144">
        <f>IF('SPlanar TH'!$I$5="x",H22,0)</f>
        <v>99.15</v>
      </c>
      <c r="K22" s="144">
        <f>IF('SPlanar TH'!$I$5="x",I22,0)</f>
        <v>6.3000000000000007</v>
      </c>
      <c r="L22" s="162"/>
      <c r="M22" s="144">
        <f>M21</f>
        <v>13.225000000000009</v>
      </c>
      <c r="N22" s="144">
        <f>N21</f>
        <v>13.225000000000009</v>
      </c>
      <c r="O22" s="144"/>
      <c r="P22" s="144"/>
      <c r="Q22" s="158">
        <f t="shared" ref="Q22:Q23" si="8">Q21</f>
        <v>1006.7200000000001</v>
      </c>
      <c r="R22" s="174">
        <f t="shared" si="3"/>
        <v>503.36000000000007</v>
      </c>
      <c r="S22" s="174">
        <f t="shared" si="4"/>
        <v>-503.36000000000007</v>
      </c>
      <c r="T22" s="175">
        <f t="shared" si="6"/>
        <v>0</v>
      </c>
      <c r="U22" s="174">
        <f t="shared" si="7"/>
        <v>503.36000000000007</v>
      </c>
      <c r="V22" s="174">
        <f t="shared" si="5"/>
        <v>-503.36000000000007</v>
      </c>
    </row>
    <row r="23" spans="1:22" x14ac:dyDescent="0.2">
      <c r="A23" s="1">
        <f t="shared" si="2"/>
        <v>21</v>
      </c>
      <c r="B23" s="122">
        <f t="shared" ref="B23" si="9">B20+1</f>
        <v>3</v>
      </c>
      <c r="C23" s="147">
        <f>C22</f>
        <v>99.15</v>
      </c>
      <c r="D23" s="148">
        <f>D17</f>
        <v>1.9</v>
      </c>
      <c r="E23" s="149"/>
      <c r="F23" s="148">
        <f>IF('SPlanar TH'!$I$6="x",C23,0)</f>
        <v>99.15</v>
      </c>
      <c r="G23" s="148">
        <f>IF('SPlanar TH'!$I$6="x",D23,0)</f>
        <v>1.9</v>
      </c>
      <c r="H23" s="149"/>
      <c r="I23" s="149"/>
      <c r="J23" s="148">
        <f>J22</f>
        <v>99.15</v>
      </c>
      <c r="K23" s="148">
        <f>K22</f>
        <v>6.3000000000000007</v>
      </c>
      <c r="L23" s="163"/>
      <c r="M23" s="148">
        <f>M22</f>
        <v>13.225000000000009</v>
      </c>
      <c r="N23" s="148">
        <f>N22</f>
        <v>13.225000000000009</v>
      </c>
      <c r="O23" s="148"/>
      <c r="P23" s="148"/>
      <c r="Q23" s="159">
        <f t="shared" si="8"/>
        <v>1006.7200000000001</v>
      </c>
      <c r="R23" s="174">
        <f t="shared" si="3"/>
        <v>503.36000000000007</v>
      </c>
      <c r="S23" s="174">
        <f t="shared" si="4"/>
        <v>-503.36000000000007</v>
      </c>
      <c r="T23" s="175">
        <f t="shared" si="6"/>
        <v>0</v>
      </c>
      <c r="U23" s="174">
        <f t="shared" si="7"/>
        <v>503.36000000000007</v>
      </c>
      <c r="V23" s="174">
        <f t="shared" si="5"/>
        <v>-503.36000000000007</v>
      </c>
    </row>
    <row r="24" spans="1:22" x14ac:dyDescent="0.2">
      <c r="A24" s="103"/>
      <c r="B24" s="10"/>
      <c r="C24" s="164"/>
      <c r="D24" s="149"/>
      <c r="E24" s="149"/>
      <c r="F24" s="166"/>
      <c r="G24" s="148"/>
      <c r="H24" s="149"/>
      <c r="I24" s="149"/>
      <c r="J24" s="148">
        <f>J23</f>
        <v>99.15</v>
      </c>
      <c r="K24" s="148">
        <f>K23</f>
        <v>6.3000000000000007</v>
      </c>
      <c r="L24" s="163"/>
      <c r="M24" s="148">
        <f>((H22-H19)^2+(I22-I19)^2)^0.5</f>
        <v>13.224999999999994</v>
      </c>
      <c r="N24" s="148">
        <f>N21+M24</f>
        <v>26.450000000000003</v>
      </c>
      <c r="O24" s="148">
        <f t="shared" ref="O24" si="10">$O$14</f>
        <v>57.2</v>
      </c>
      <c r="P24" s="148">
        <v>2</v>
      </c>
      <c r="Q24" s="159">
        <f t="shared" ref="Q24" si="11">((C22-C23)^2+(D22-D23)^2)^0.5*O24*P24</f>
        <v>1006.7200000000001</v>
      </c>
      <c r="R24" s="174">
        <f t="shared" si="3"/>
        <v>503.36000000000007</v>
      </c>
      <c r="S24" s="174">
        <f t="shared" si="4"/>
        <v>-503.36000000000007</v>
      </c>
      <c r="T24" s="175">
        <f t="shared" si="6"/>
        <v>0</v>
      </c>
      <c r="U24" s="174">
        <f t="shared" si="7"/>
        <v>503.36000000000007</v>
      </c>
      <c r="V24" s="174">
        <f t="shared" si="5"/>
        <v>-503.36000000000007</v>
      </c>
    </row>
    <row r="25" spans="1:22" x14ac:dyDescent="0.2">
      <c r="A25" s="103"/>
      <c r="B25" s="10"/>
      <c r="C25" s="143">
        <f>C22</f>
        <v>99.15</v>
      </c>
      <c r="D25" s="144">
        <f>D22</f>
        <v>10.700000000000001</v>
      </c>
      <c r="E25" s="145"/>
      <c r="F25" s="144">
        <f>IF('SPlanar TH'!$I$6="x",C25,0)</f>
        <v>99.15</v>
      </c>
      <c r="G25" s="144">
        <f>IF('SPlanar TH'!$I$6="x",D25,0)</f>
        <v>10.700000000000001</v>
      </c>
      <c r="H25" s="144">
        <f>SUM(C25:C26)/2</f>
        <v>101.35000000000001</v>
      </c>
      <c r="I25" s="144">
        <f>SUM(D25:D26)/2</f>
        <v>6.3000000000000007</v>
      </c>
      <c r="J25" s="144">
        <f>IF('SPlanar TH'!$I$5="x",H25,0)</f>
        <v>101.35000000000001</v>
      </c>
      <c r="K25" s="144">
        <f>IF('SPlanar TH'!$I$5="x",I25,0)</f>
        <v>6.3000000000000007</v>
      </c>
      <c r="L25" s="162"/>
      <c r="M25" s="144">
        <f>M24</f>
        <v>13.224999999999994</v>
      </c>
      <c r="N25" s="144">
        <f>N24</f>
        <v>26.450000000000003</v>
      </c>
      <c r="O25" s="144"/>
      <c r="P25" s="144"/>
      <c r="Q25" s="158">
        <f t="shared" ref="Q25:Q26" si="12">Q24</f>
        <v>1006.7200000000001</v>
      </c>
      <c r="R25" s="174">
        <f t="shared" si="3"/>
        <v>503.36000000000007</v>
      </c>
      <c r="S25" s="174">
        <f t="shared" si="4"/>
        <v>-503.36000000000007</v>
      </c>
      <c r="T25" s="175">
        <f t="shared" si="6"/>
        <v>0</v>
      </c>
      <c r="U25" s="174">
        <f t="shared" si="7"/>
        <v>503.36000000000007</v>
      </c>
      <c r="V25" s="174">
        <f t="shared" si="5"/>
        <v>-503.36000000000007</v>
      </c>
    </row>
    <row r="26" spans="1:22" x14ac:dyDescent="0.2">
      <c r="A26" s="1">
        <f t="shared" si="2"/>
        <v>20</v>
      </c>
      <c r="B26" s="122">
        <f t="shared" ref="B26" si="13">B23+1</f>
        <v>4</v>
      </c>
      <c r="C26" s="147">
        <f>(C23+Panels!C60)/2</f>
        <v>103.55000000000001</v>
      </c>
      <c r="D26" s="148">
        <f>D23</f>
        <v>1.9</v>
      </c>
      <c r="E26" s="149"/>
      <c r="F26" s="148">
        <f>IF('SPlanar TH'!$I$6="x",C26,0)</f>
        <v>103.55000000000001</v>
      </c>
      <c r="G26" s="148">
        <f>IF('SPlanar TH'!$I$6="x",D26,0)</f>
        <v>1.9</v>
      </c>
      <c r="H26" s="149"/>
      <c r="I26" s="149"/>
      <c r="J26" s="148">
        <f>J25</f>
        <v>101.35000000000001</v>
      </c>
      <c r="K26" s="148">
        <f>K25</f>
        <v>6.3000000000000007</v>
      </c>
      <c r="L26" s="163"/>
      <c r="M26" s="148">
        <f>M25</f>
        <v>13.224999999999994</v>
      </c>
      <c r="N26" s="148">
        <f>N25</f>
        <v>26.450000000000003</v>
      </c>
      <c r="O26" s="148"/>
      <c r="P26" s="148"/>
      <c r="Q26" s="159">
        <f t="shared" si="12"/>
        <v>1006.7200000000001</v>
      </c>
      <c r="R26" s="174">
        <f t="shared" si="3"/>
        <v>503.36000000000007</v>
      </c>
      <c r="S26" s="174">
        <f t="shared" si="4"/>
        <v>-503.36000000000007</v>
      </c>
      <c r="T26" s="175">
        <f t="shared" si="6"/>
        <v>0</v>
      </c>
      <c r="U26" s="174">
        <f t="shared" si="7"/>
        <v>503.36000000000007</v>
      </c>
      <c r="V26" s="174">
        <f t="shared" si="5"/>
        <v>-503.36000000000007</v>
      </c>
    </row>
    <row r="27" spans="1:22" x14ac:dyDescent="0.2">
      <c r="A27" s="103"/>
      <c r="B27" s="10"/>
      <c r="C27" s="160"/>
      <c r="D27" s="161"/>
      <c r="E27" s="161"/>
      <c r="F27" s="153"/>
      <c r="G27" s="154"/>
      <c r="H27" s="161"/>
      <c r="I27" s="161"/>
      <c r="J27" s="154">
        <f>J26</f>
        <v>101.35000000000001</v>
      </c>
      <c r="K27" s="154">
        <f>K26</f>
        <v>6.3000000000000007</v>
      </c>
      <c r="L27" s="155"/>
      <c r="M27" s="154">
        <f>((H25-H22)^2+(I25-I22)^2)^0.5</f>
        <v>2.2000000000000028</v>
      </c>
      <c r="N27" s="154">
        <f>N24+M27</f>
        <v>28.650000000000006</v>
      </c>
      <c r="O27" s="154">
        <f t="shared" ref="O27" si="14">$O$14</f>
        <v>57.2</v>
      </c>
      <c r="P27" s="154">
        <v>2</v>
      </c>
      <c r="Q27" s="156">
        <f t="shared" ref="Q27" si="15">((C25-C26)^2+(D25-D26)^2)^0.5*O27*P27</f>
        <v>1125.5471771542946</v>
      </c>
      <c r="R27" s="174">
        <f t="shared" si="3"/>
        <v>562.77358857714728</v>
      </c>
      <c r="S27" s="174">
        <f t="shared" si="4"/>
        <v>-562.77358857714728</v>
      </c>
      <c r="T27" s="175">
        <f t="shared" si="6"/>
        <v>-118.82717715429442</v>
      </c>
      <c r="U27" s="174">
        <f t="shared" si="7"/>
        <v>503.36000000000007</v>
      </c>
      <c r="V27" s="174">
        <f t="shared" si="5"/>
        <v>-503.36000000000007</v>
      </c>
    </row>
    <row r="28" spans="1:22" x14ac:dyDescent="0.2">
      <c r="A28" s="103"/>
      <c r="B28" s="10"/>
      <c r="C28" s="143">
        <f>C25</f>
        <v>99.15</v>
      </c>
      <c r="D28" s="144">
        <f>D25</f>
        <v>10.700000000000001</v>
      </c>
      <c r="E28" s="145"/>
      <c r="F28" s="144">
        <f>IF('SPlanar TH'!$I$6="x",C28,0)</f>
        <v>99.15</v>
      </c>
      <c r="G28" s="144">
        <f>IF('SPlanar TH'!$I$6="x",D28,0)</f>
        <v>10.700000000000001</v>
      </c>
      <c r="H28" s="144">
        <f>SUM(C28:C29)/2</f>
        <v>103.55000000000001</v>
      </c>
      <c r="I28" s="144">
        <f>SUM(D28:D29)/2</f>
        <v>8.5</v>
      </c>
      <c r="J28" s="144">
        <f>IF('SPlanar TH'!$I$5="x",H28,0)</f>
        <v>103.55000000000001</v>
      </c>
      <c r="K28" s="144">
        <f>IF('SPlanar TH'!$I$5="x",I28,0)</f>
        <v>8.5</v>
      </c>
      <c r="L28" s="145"/>
      <c r="M28" s="144">
        <f>M27</f>
        <v>2.2000000000000028</v>
      </c>
      <c r="N28" s="144">
        <f>N27</f>
        <v>28.650000000000006</v>
      </c>
      <c r="O28" s="144"/>
      <c r="P28" s="144"/>
      <c r="Q28" s="158">
        <f t="shared" ref="Q28:Q29" si="16">Q27</f>
        <v>1125.5471771542946</v>
      </c>
      <c r="R28" s="174">
        <f t="shared" si="3"/>
        <v>562.77358857714728</v>
      </c>
      <c r="S28" s="174">
        <f t="shared" si="4"/>
        <v>-562.77358857714728</v>
      </c>
      <c r="T28" s="175">
        <f t="shared" si="6"/>
        <v>-118.82717715429442</v>
      </c>
      <c r="U28" s="174">
        <f t="shared" si="7"/>
        <v>503.36000000000007</v>
      </c>
      <c r="V28" s="174">
        <f t="shared" si="5"/>
        <v>-503.36000000000007</v>
      </c>
    </row>
    <row r="29" spans="1:22" x14ac:dyDescent="0.2">
      <c r="A29" s="1">
        <f t="shared" si="2"/>
        <v>19</v>
      </c>
      <c r="B29" s="122">
        <f t="shared" ref="B29" si="17">B26+1</f>
        <v>5</v>
      </c>
      <c r="C29" s="147">
        <f>Panels!C60</f>
        <v>107.95</v>
      </c>
      <c r="D29" s="148">
        <f>(D26+D28)/2</f>
        <v>6.3000000000000007</v>
      </c>
      <c r="E29" s="149"/>
      <c r="F29" s="148">
        <f>IF('SPlanar TH'!$I$6="x",C29,0)</f>
        <v>107.95</v>
      </c>
      <c r="G29" s="148">
        <f>IF('SPlanar TH'!$I$6="x",D29,0)</f>
        <v>6.3000000000000007</v>
      </c>
      <c r="H29" s="149"/>
      <c r="I29" s="149"/>
      <c r="J29" s="148">
        <f>J28</f>
        <v>103.55000000000001</v>
      </c>
      <c r="K29" s="148">
        <f>K28</f>
        <v>8.5</v>
      </c>
      <c r="L29" s="148"/>
      <c r="M29" s="148">
        <f>M28</f>
        <v>2.2000000000000028</v>
      </c>
      <c r="N29" s="148">
        <f>N28</f>
        <v>28.650000000000006</v>
      </c>
      <c r="O29" s="148"/>
      <c r="P29" s="148"/>
      <c r="Q29" s="159">
        <f t="shared" si="16"/>
        <v>1125.5471771542946</v>
      </c>
      <c r="R29" s="174">
        <f t="shared" si="3"/>
        <v>562.77358857714728</v>
      </c>
      <c r="S29" s="174">
        <f t="shared" si="4"/>
        <v>-562.77358857714728</v>
      </c>
      <c r="T29" s="175">
        <f t="shared" si="6"/>
        <v>-118.82717715429442</v>
      </c>
      <c r="U29" s="174">
        <f t="shared" si="7"/>
        <v>503.36000000000007</v>
      </c>
      <c r="V29" s="174">
        <f t="shared" si="5"/>
        <v>-503.36000000000007</v>
      </c>
    </row>
    <row r="30" spans="1:22" x14ac:dyDescent="0.2">
      <c r="A30" s="103"/>
      <c r="B30" s="10"/>
      <c r="C30" s="160"/>
      <c r="D30" s="161"/>
      <c r="E30" s="161"/>
      <c r="F30" s="153"/>
      <c r="G30" s="154"/>
      <c r="H30" s="161"/>
      <c r="I30" s="161"/>
      <c r="J30" s="154">
        <f>J29</f>
        <v>103.55000000000001</v>
      </c>
      <c r="K30" s="154">
        <f>K29</f>
        <v>8.5</v>
      </c>
      <c r="L30" s="161"/>
      <c r="M30" s="154">
        <f>((H28-H25)^2+(I28-I25)^2)^0.5</f>
        <v>3.111269837220811</v>
      </c>
      <c r="N30" s="154">
        <f>N27+M30</f>
        <v>31.761269837220816</v>
      </c>
      <c r="O30" s="154">
        <f t="shared" ref="O30" si="18">$O$14</f>
        <v>57.2</v>
      </c>
      <c r="P30" s="154">
        <v>2</v>
      </c>
      <c r="Q30" s="156">
        <f t="shared" ref="Q30" si="19">((C28-C29)^2+(D28-D29)^2)^0.5*O30*P30</f>
        <v>1125.5471771542939</v>
      </c>
      <c r="R30" s="174">
        <f t="shared" si="3"/>
        <v>562.77358857714694</v>
      </c>
      <c r="S30" s="174">
        <f t="shared" si="4"/>
        <v>-562.77358857714694</v>
      </c>
      <c r="T30" s="175">
        <f t="shared" si="6"/>
        <v>-118.82717715429374</v>
      </c>
      <c r="U30" s="174">
        <f t="shared" si="7"/>
        <v>503.36000000000007</v>
      </c>
      <c r="V30" s="174">
        <f t="shared" si="5"/>
        <v>-503.36000000000007</v>
      </c>
    </row>
    <row r="31" spans="1:22" x14ac:dyDescent="0.2">
      <c r="A31" s="103"/>
      <c r="B31" s="10"/>
      <c r="C31" s="143">
        <f>C28</f>
        <v>99.15</v>
      </c>
      <c r="D31" s="144">
        <f>D28</f>
        <v>10.700000000000001</v>
      </c>
      <c r="E31" s="145"/>
      <c r="F31" s="144">
        <f>IF('SPlanar TH'!$I$6="x",C31,0)</f>
        <v>99.15</v>
      </c>
      <c r="G31" s="144">
        <f>IF('SPlanar TH'!$I$6="x",D31,0)</f>
        <v>10.700000000000001</v>
      </c>
      <c r="H31" s="144">
        <f>SUM(C31:C32)/2</f>
        <v>103.55000000000001</v>
      </c>
      <c r="I31" s="144">
        <f>SUM(D31:D32)/2</f>
        <v>10.700000000000001</v>
      </c>
      <c r="J31" s="144">
        <f>IF('SPlanar TH'!$I$5="x",H31,0)</f>
        <v>103.55000000000001</v>
      </c>
      <c r="K31" s="144">
        <f>IF('SPlanar TH'!$I$5="x",I31,0)</f>
        <v>10.700000000000001</v>
      </c>
      <c r="L31" s="145"/>
      <c r="M31" s="144">
        <f>M30</f>
        <v>3.111269837220811</v>
      </c>
      <c r="N31" s="144">
        <f>N30</f>
        <v>31.761269837220816</v>
      </c>
      <c r="O31" s="144"/>
      <c r="P31" s="144"/>
      <c r="Q31" s="158">
        <f t="shared" ref="Q31:Q32" si="20">Q30</f>
        <v>1125.5471771542939</v>
      </c>
      <c r="R31" s="174">
        <f t="shared" si="3"/>
        <v>562.77358857714694</v>
      </c>
      <c r="S31" s="174">
        <f t="shared" si="4"/>
        <v>-562.77358857714694</v>
      </c>
      <c r="T31" s="175">
        <f t="shared" si="6"/>
        <v>-118.82717715429374</v>
      </c>
      <c r="U31" s="174">
        <f t="shared" si="7"/>
        <v>503.36000000000007</v>
      </c>
      <c r="V31" s="174">
        <f t="shared" si="5"/>
        <v>-503.36000000000007</v>
      </c>
    </row>
    <row r="32" spans="1:22" x14ac:dyDescent="0.2">
      <c r="A32" s="1">
        <f t="shared" si="2"/>
        <v>18</v>
      </c>
      <c r="B32" s="122">
        <f t="shared" ref="B32" si="21">B29+1</f>
        <v>6</v>
      </c>
      <c r="C32" s="147">
        <f>C29</f>
        <v>107.95</v>
      </c>
      <c r="D32" s="148">
        <f>D31</f>
        <v>10.700000000000001</v>
      </c>
      <c r="E32" s="149"/>
      <c r="F32" s="148">
        <f>IF('SPlanar TH'!$I$6="x",C32,0)</f>
        <v>107.95</v>
      </c>
      <c r="G32" s="148">
        <f>IF('SPlanar TH'!$I$6="x",D32,0)</f>
        <v>10.700000000000001</v>
      </c>
      <c r="H32" s="149"/>
      <c r="I32" s="149"/>
      <c r="J32" s="148">
        <f>J31</f>
        <v>103.55000000000001</v>
      </c>
      <c r="K32" s="148">
        <f>K31</f>
        <v>10.700000000000001</v>
      </c>
      <c r="L32" s="149"/>
      <c r="M32" s="148">
        <f>M31</f>
        <v>3.111269837220811</v>
      </c>
      <c r="N32" s="148">
        <f>N31</f>
        <v>31.761269837220816</v>
      </c>
      <c r="O32" s="148"/>
      <c r="P32" s="148"/>
      <c r="Q32" s="159">
        <f t="shared" si="20"/>
        <v>1125.5471771542939</v>
      </c>
      <c r="R32" s="174">
        <f t="shared" si="3"/>
        <v>562.77358857714694</v>
      </c>
      <c r="S32" s="174">
        <f t="shared" si="4"/>
        <v>-562.77358857714694</v>
      </c>
      <c r="T32" s="175">
        <f t="shared" si="6"/>
        <v>-118.82717715429374</v>
      </c>
      <c r="U32" s="174">
        <f t="shared" si="7"/>
        <v>503.36000000000007</v>
      </c>
      <c r="V32" s="174">
        <f t="shared" si="5"/>
        <v>-503.36000000000007</v>
      </c>
    </row>
    <row r="33" spans="1:22" x14ac:dyDescent="0.2">
      <c r="A33" s="103"/>
      <c r="B33" s="10"/>
      <c r="C33" s="160"/>
      <c r="D33" s="161"/>
      <c r="E33" s="161"/>
      <c r="F33" s="153"/>
      <c r="G33" s="154"/>
      <c r="H33" s="161"/>
      <c r="I33" s="161"/>
      <c r="J33" s="154">
        <f>J32</f>
        <v>103.55000000000001</v>
      </c>
      <c r="K33" s="154">
        <f>K32</f>
        <v>10.700000000000001</v>
      </c>
      <c r="L33" s="161"/>
      <c r="M33" s="154">
        <f>((H31-H28)^2+(I31-I28)^2)^0.5</f>
        <v>2.2000000000000011</v>
      </c>
      <c r="N33" s="154">
        <f>N30+M33</f>
        <v>33.961269837220819</v>
      </c>
      <c r="O33" s="154">
        <f t="shared" ref="O33" si="22">$O$14</f>
        <v>57.2</v>
      </c>
      <c r="P33" s="154">
        <v>2</v>
      </c>
      <c r="Q33" s="156">
        <f t="shared" ref="Q33" si="23">((C31-C32)^2+(D31-D32)^2)^0.5*O33*P33</f>
        <v>1006.7199999999997</v>
      </c>
      <c r="R33" s="174">
        <f t="shared" si="3"/>
        <v>503.35999999999984</v>
      </c>
      <c r="S33" s="174">
        <f t="shared" si="4"/>
        <v>-503.35999999999984</v>
      </c>
      <c r="T33" s="175">
        <f t="shared" si="6"/>
        <v>4.5474735088646412E-13</v>
      </c>
      <c r="U33" s="174">
        <f t="shared" si="7"/>
        <v>503.36000000000007</v>
      </c>
      <c r="V33" s="174">
        <f t="shared" si="5"/>
        <v>-503.36000000000007</v>
      </c>
    </row>
    <row r="34" spans="1:22" x14ac:dyDescent="0.2">
      <c r="A34" s="103"/>
      <c r="B34" s="10"/>
      <c r="C34" s="147">
        <f>C31</f>
        <v>99.15</v>
      </c>
      <c r="D34" s="148">
        <f>Panels!D59</f>
        <v>80.8</v>
      </c>
      <c r="E34" s="149"/>
      <c r="F34" s="144">
        <f>IF('SPlanar TH'!$I$6="x",C34,0)</f>
        <v>99.15</v>
      </c>
      <c r="G34" s="144">
        <f>IF('SPlanar TH'!$I$6="x",D34,0)</f>
        <v>80.8</v>
      </c>
      <c r="H34" s="144">
        <f>SUM(C34:C35)/2</f>
        <v>103.55000000000001</v>
      </c>
      <c r="I34" s="144">
        <f>SUM(D34:D35)/2</f>
        <v>80.8</v>
      </c>
      <c r="J34" s="144">
        <f>IF('SPlanar TH'!$I$5="x",H34,0)</f>
        <v>103.55000000000001</v>
      </c>
      <c r="K34" s="144">
        <f>IF('SPlanar TH'!$I$5="x",I34,0)</f>
        <v>80.8</v>
      </c>
      <c r="L34" s="145"/>
      <c r="M34" s="144">
        <f>M33</f>
        <v>2.2000000000000011</v>
      </c>
      <c r="N34" s="144">
        <f>N33</f>
        <v>33.961269837220819</v>
      </c>
      <c r="O34" s="144"/>
      <c r="P34" s="144"/>
      <c r="Q34" s="158">
        <f t="shared" ref="Q34:Q35" si="24">Q33</f>
        <v>1006.7199999999997</v>
      </c>
      <c r="R34" s="174">
        <f t="shared" si="3"/>
        <v>503.35999999999984</v>
      </c>
      <c r="S34" s="174">
        <f t="shared" si="4"/>
        <v>-503.35999999999984</v>
      </c>
      <c r="T34" s="175">
        <f t="shared" si="6"/>
        <v>4.5474735088646412E-13</v>
      </c>
      <c r="U34" s="174">
        <f t="shared" si="7"/>
        <v>503.36000000000007</v>
      </c>
      <c r="V34" s="174">
        <f t="shared" si="5"/>
        <v>-503.36000000000007</v>
      </c>
    </row>
    <row r="35" spans="1:22" x14ac:dyDescent="0.2">
      <c r="A35" s="1">
        <f t="shared" si="2"/>
        <v>17</v>
      </c>
      <c r="B35" s="122">
        <f t="shared" ref="B35" si="25">B32+1</f>
        <v>7</v>
      </c>
      <c r="C35" s="147">
        <f>C32</f>
        <v>107.95</v>
      </c>
      <c r="D35" s="148">
        <f>D34</f>
        <v>80.8</v>
      </c>
      <c r="E35" s="149"/>
      <c r="F35" s="148">
        <f>IF('SPlanar TH'!$I$6="x",C35,0)</f>
        <v>107.95</v>
      </c>
      <c r="G35" s="148">
        <f>IF('SPlanar TH'!$I$6="x",D35,0)</f>
        <v>80.8</v>
      </c>
      <c r="H35" s="149"/>
      <c r="I35" s="149"/>
      <c r="J35" s="148">
        <f>J34</f>
        <v>103.55000000000001</v>
      </c>
      <c r="K35" s="148">
        <f>K34</f>
        <v>80.8</v>
      </c>
      <c r="L35" s="149"/>
      <c r="M35" s="148">
        <f>M34</f>
        <v>2.2000000000000011</v>
      </c>
      <c r="N35" s="148">
        <f>N34</f>
        <v>33.961269837220819</v>
      </c>
      <c r="O35" s="148"/>
      <c r="P35" s="148"/>
      <c r="Q35" s="159">
        <f t="shared" si="24"/>
        <v>1006.7199999999997</v>
      </c>
      <c r="R35" s="174">
        <f t="shared" si="3"/>
        <v>503.35999999999984</v>
      </c>
      <c r="S35" s="174">
        <f t="shared" si="4"/>
        <v>-503.35999999999984</v>
      </c>
      <c r="T35" s="175">
        <f t="shared" si="6"/>
        <v>4.5474735088646412E-13</v>
      </c>
      <c r="U35" s="174">
        <f t="shared" si="7"/>
        <v>503.36000000000007</v>
      </c>
      <c r="V35" s="174">
        <f t="shared" si="5"/>
        <v>-503.36000000000007</v>
      </c>
    </row>
    <row r="36" spans="1:22" x14ac:dyDescent="0.2">
      <c r="A36" s="103"/>
      <c r="B36" s="10"/>
      <c r="C36" s="164"/>
      <c r="D36" s="149"/>
      <c r="E36" s="149"/>
      <c r="F36" s="153"/>
      <c r="G36" s="154"/>
      <c r="H36" s="161"/>
      <c r="I36" s="161"/>
      <c r="J36" s="154">
        <f>J35</f>
        <v>103.55000000000001</v>
      </c>
      <c r="K36" s="154">
        <f>K35</f>
        <v>80.8</v>
      </c>
      <c r="L36" s="161"/>
      <c r="M36" s="154">
        <f>((H34-H31)^2+(I34-I31)^2)^0.5</f>
        <v>70.099999999999994</v>
      </c>
      <c r="N36" s="154">
        <f>N33+M36</f>
        <v>104.06126983722081</v>
      </c>
      <c r="O36" s="154">
        <f t="shared" ref="O36" si="26">$O$14</f>
        <v>57.2</v>
      </c>
      <c r="P36" s="154">
        <v>2</v>
      </c>
      <c r="Q36" s="156">
        <f t="shared" ref="Q36" si="27">((C34-C35)^2+(D34-D35)^2)^0.5*O36*P36</f>
        <v>1006.7199999999997</v>
      </c>
      <c r="R36" s="174">
        <f t="shared" si="3"/>
        <v>503.35999999999984</v>
      </c>
      <c r="S36" s="174">
        <f t="shared" si="4"/>
        <v>-503.35999999999984</v>
      </c>
      <c r="T36" s="175">
        <f t="shared" si="6"/>
        <v>4.5474735088646412E-13</v>
      </c>
      <c r="U36" s="174">
        <f t="shared" si="7"/>
        <v>503.36000000000007</v>
      </c>
      <c r="V36" s="174">
        <f t="shared" si="5"/>
        <v>-503.36000000000007</v>
      </c>
    </row>
    <row r="37" spans="1:22" x14ac:dyDescent="0.2">
      <c r="A37" s="103"/>
      <c r="B37" s="10"/>
      <c r="C37" s="143">
        <f>C35</f>
        <v>107.95</v>
      </c>
      <c r="D37" s="144">
        <f>D35</f>
        <v>80.8</v>
      </c>
      <c r="E37" s="145"/>
      <c r="F37" s="144">
        <f>IF('SPlanar TH'!$I$6="x",C37,0)</f>
        <v>107.95</v>
      </c>
      <c r="G37" s="144">
        <f>IF('SPlanar TH'!$I$6="x",D37,0)</f>
        <v>80.8</v>
      </c>
      <c r="H37" s="144">
        <f>SUM(C37:C38)/2</f>
        <v>103.55000000000001</v>
      </c>
      <c r="I37" s="144">
        <f>SUM(D37:D38)/2</f>
        <v>83</v>
      </c>
      <c r="J37" s="144">
        <f>IF('SPlanar TH'!$I$5="x",H37,0)</f>
        <v>103.55000000000001</v>
      </c>
      <c r="K37" s="144">
        <f>IF('SPlanar TH'!$I$5="x",I37,0)</f>
        <v>83</v>
      </c>
      <c r="L37" s="145"/>
      <c r="M37" s="144">
        <f>M36</f>
        <v>70.099999999999994</v>
      </c>
      <c r="N37" s="144">
        <f>N36</f>
        <v>104.06126983722081</v>
      </c>
      <c r="O37" s="144"/>
      <c r="P37" s="144"/>
      <c r="Q37" s="158">
        <f t="shared" ref="Q37:Q38" si="28">Q36</f>
        <v>1006.7199999999997</v>
      </c>
      <c r="R37" s="174">
        <f t="shared" si="3"/>
        <v>503.35999999999984</v>
      </c>
      <c r="S37" s="174">
        <f t="shared" si="4"/>
        <v>-503.35999999999984</v>
      </c>
      <c r="T37" s="175">
        <f t="shared" si="6"/>
        <v>4.5474735088646412E-13</v>
      </c>
      <c r="U37" s="174">
        <f t="shared" si="7"/>
        <v>503.36000000000007</v>
      </c>
      <c r="V37" s="174">
        <f t="shared" si="5"/>
        <v>-503.36000000000007</v>
      </c>
    </row>
    <row r="38" spans="1:22" x14ac:dyDescent="0.2">
      <c r="A38" s="1">
        <f t="shared" si="2"/>
        <v>16</v>
      </c>
      <c r="B38" s="122">
        <f t="shared" ref="B38" si="29">B35+1</f>
        <v>8</v>
      </c>
      <c r="C38" s="147">
        <f>C34</f>
        <v>99.15</v>
      </c>
      <c r="D38" s="148">
        <f>(D37+Panels!D82)/2</f>
        <v>85.199999999999989</v>
      </c>
      <c r="E38" s="149"/>
      <c r="F38" s="148">
        <f>IF('SPlanar TH'!$I$6="x",C38,0)</f>
        <v>99.15</v>
      </c>
      <c r="G38" s="148">
        <f>IF('SPlanar TH'!$I$6="x",D38,0)</f>
        <v>85.199999999999989</v>
      </c>
      <c r="H38" s="148"/>
      <c r="I38" s="148"/>
      <c r="J38" s="148">
        <f>J37</f>
        <v>103.55000000000001</v>
      </c>
      <c r="K38" s="148">
        <f>K37</f>
        <v>83</v>
      </c>
      <c r="L38" s="149"/>
      <c r="M38" s="148">
        <f>M37</f>
        <v>70.099999999999994</v>
      </c>
      <c r="N38" s="148">
        <f>N37</f>
        <v>104.06126983722081</v>
      </c>
      <c r="O38" s="148"/>
      <c r="P38" s="148"/>
      <c r="Q38" s="159">
        <f t="shared" si="28"/>
        <v>1006.7199999999997</v>
      </c>
      <c r="R38" s="174">
        <f t="shared" si="3"/>
        <v>503.35999999999984</v>
      </c>
      <c r="S38" s="174">
        <f t="shared" si="4"/>
        <v>-503.35999999999984</v>
      </c>
      <c r="T38" s="175">
        <f t="shared" si="6"/>
        <v>4.5474735088646412E-13</v>
      </c>
      <c r="U38" s="174">
        <f t="shared" si="7"/>
        <v>503.36000000000007</v>
      </c>
      <c r="V38" s="174">
        <f t="shared" si="5"/>
        <v>-503.36000000000007</v>
      </c>
    </row>
    <row r="39" spans="1:22" x14ac:dyDescent="0.2">
      <c r="A39" s="103"/>
      <c r="B39" s="10"/>
      <c r="C39" s="160"/>
      <c r="D39" s="161"/>
      <c r="E39" s="161"/>
      <c r="F39" s="153"/>
      <c r="G39" s="154"/>
      <c r="H39" s="154"/>
      <c r="I39" s="154"/>
      <c r="J39" s="154">
        <f>J38</f>
        <v>103.55000000000001</v>
      </c>
      <c r="K39" s="154">
        <f>K38</f>
        <v>83</v>
      </c>
      <c r="L39" s="161"/>
      <c r="M39" s="154">
        <f>((H37-H34)^2+(I37-I34)^2)^0.5</f>
        <v>2.2000000000000028</v>
      </c>
      <c r="N39" s="154">
        <f>N36+M39</f>
        <v>106.26126983722081</v>
      </c>
      <c r="O39" s="154">
        <f t="shared" ref="O39" si="30">$O$14</f>
        <v>57.2</v>
      </c>
      <c r="P39" s="154">
        <v>2</v>
      </c>
      <c r="Q39" s="156">
        <f t="shared" ref="Q39" si="31">((C37-C38)^2+(D37-D38)^2)^0.5*O39*P39</f>
        <v>1125.5471771542934</v>
      </c>
      <c r="R39" s="174">
        <f t="shared" si="3"/>
        <v>562.77358857714671</v>
      </c>
      <c r="S39" s="174">
        <f t="shared" si="4"/>
        <v>-562.77358857714671</v>
      </c>
      <c r="T39" s="175">
        <f t="shared" si="6"/>
        <v>-118.82717715429328</v>
      </c>
      <c r="U39" s="174">
        <f t="shared" si="7"/>
        <v>503.36000000000007</v>
      </c>
      <c r="V39" s="174">
        <f t="shared" si="5"/>
        <v>-503.36000000000007</v>
      </c>
    </row>
    <row r="40" spans="1:22" x14ac:dyDescent="0.2">
      <c r="A40" s="103"/>
      <c r="B40" s="10"/>
      <c r="C40" s="143">
        <f>C37</f>
        <v>107.95</v>
      </c>
      <c r="D40" s="144">
        <f>D37</f>
        <v>80.8</v>
      </c>
      <c r="E40" s="145"/>
      <c r="F40" s="144">
        <f>IF('SPlanar TH'!$I$6="x",C40,0)</f>
        <v>107.95</v>
      </c>
      <c r="G40" s="144">
        <f>IF('SPlanar TH'!$I$6="x",D40,0)</f>
        <v>80.8</v>
      </c>
      <c r="H40" s="144">
        <f>SUM(C40:C41)/2</f>
        <v>105.75</v>
      </c>
      <c r="I40" s="144">
        <f>SUM(D40:D41)/2</f>
        <v>85.199999999999989</v>
      </c>
      <c r="J40" s="144">
        <f>IF('SPlanar TH'!$I$5="x",H40,0)</f>
        <v>105.75</v>
      </c>
      <c r="K40" s="144">
        <f>IF('SPlanar TH'!$I$5="x",I40,0)</f>
        <v>85.199999999999989</v>
      </c>
      <c r="L40" s="145"/>
      <c r="M40" s="144">
        <f>M39</f>
        <v>2.2000000000000028</v>
      </c>
      <c r="N40" s="144">
        <f>N39</f>
        <v>106.26126983722081</v>
      </c>
      <c r="O40" s="144"/>
      <c r="P40" s="144"/>
      <c r="Q40" s="158">
        <f t="shared" ref="Q40:Q41" si="32">Q39</f>
        <v>1125.5471771542934</v>
      </c>
      <c r="R40" s="174">
        <f t="shared" si="3"/>
        <v>562.77358857714671</v>
      </c>
      <c r="S40" s="174">
        <f t="shared" si="4"/>
        <v>-562.77358857714671</v>
      </c>
      <c r="T40" s="175">
        <f t="shared" si="6"/>
        <v>-118.82717715429328</v>
      </c>
      <c r="U40" s="174">
        <f t="shared" si="7"/>
        <v>503.36000000000007</v>
      </c>
      <c r="V40" s="174">
        <f t="shared" si="5"/>
        <v>-503.36000000000007</v>
      </c>
    </row>
    <row r="41" spans="1:22" x14ac:dyDescent="0.2">
      <c r="A41" s="1">
        <f t="shared" si="2"/>
        <v>15</v>
      </c>
      <c r="B41" s="122">
        <f t="shared" ref="B41" si="33">B38+1</f>
        <v>9</v>
      </c>
      <c r="C41" s="147">
        <f>(C40+C38)/2</f>
        <v>103.55000000000001</v>
      </c>
      <c r="D41" s="148">
        <f>Panels!D82</f>
        <v>89.6</v>
      </c>
      <c r="E41" s="149"/>
      <c r="F41" s="148">
        <f>IF('SPlanar TH'!$I$6="x",C41,0)</f>
        <v>103.55000000000001</v>
      </c>
      <c r="G41" s="148">
        <f>IF('SPlanar TH'!$I$6="x",D41,0)</f>
        <v>89.6</v>
      </c>
      <c r="H41" s="149"/>
      <c r="I41" s="149"/>
      <c r="J41" s="148">
        <f>J40</f>
        <v>105.75</v>
      </c>
      <c r="K41" s="148">
        <f>K40</f>
        <v>85.199999999999989</v>
      </c>
      <c r="L41" s="149"/>
      <c r="M41" s="148">
        <f>M40</f>
        <v>2.2000000000000028</v>
      </c>
      <c r="N41" s="148">
        <f>N40</f>
        <v>106.26126983722081</v>
      </c>
      <c r="O41" s="148"/>
      <c r="P41" s="148"/>
      <c r="Q41" s="159">
        <f t="shared" si="32"/>
        <v>1125.5471771542934</v>
      </c>
      <c r="R41" s="174">
        <f t="shared" si="3"/>
        <v>562.77358857714671</v>
      </c>
      <c r="S41" s="174">
        <f t="shared" si="4"/>
        <v>-562.77358857714671</v>
      </c>
      <c r="T41" s="175">
        <f t="shared" si="6"/>
        <v>-118.82717715429328</v>
      </c>
      <c r="U41" s="174">
        <f t="shared" si="7"/>
        <v>503.36000000000007</v>
      </c>
      <c r="V41" s="174">
        <f t="shared" si="5"/>
        <v>-503.36000000000007</v>
      </c>
    </row>
    <row r="42" spans="1:22" x14ac:dyDescent="0.2">
      <c r="A42" s="103"/>
      <c r="B42" s="10"/>
      <c r="C42" s="160"/>
      <c r="D42" s="161"/>
      <c r="E42" s="161"/>
      <c r="F42" s="153"/>
      <c r="G42" s="154"/>
      <c r="H42" s="161"/>
      <c r="I42" s="161"/>
      <c r="J42" s="154">
        <f>J41</f>
        <v>105.75</v>
      </c>
      <c r="K42" s="154">
        <f>K41</f>
        <v>85.199999999999989</v>
      </c>
      <c r="L42" s="161"/>
      <c r="M42" s="154">
        <f>((H40-H37)^2+(I40-I37)^2)^0.5</f>
        <v>3.1112698372207932</v>
      </c>
      <c r="N42" s="154">
        <f>N39+M42</f>
        <v>109.3725396744416</v>
      </c>
      <c r="O42" s="154">
        <f t="shared" ref="O42" si="34">$O$14</f>
        <v>57.2</v>
      </c>
      <c r="P42" s="154">
        <v>2</v>
      </c>
      <c r="Q42" s="156">
        <f t="shared" ref="Q42" si="35">((C40-C41)^2+(D40-D41)^2)^0.5*O42*P42</f>
        <v>1125.5471771542934</v>
      </c>
      <c r="R42" s="174">
        <f t="shared" si="3"/>
        <v>562.77358857714671</v>
      </c>
      <c r="S42" s="174">
        <f t="shared" si="4"/>
        <v>-562.77358857714671</v>
      </c>
      <c r="T42" s="175">
        <f t="shared" si="6"/>
        <v>-118.82717715429328</v>
      </c>
      <c r="U42" s="174">
        <f t="shared" si="7"/>
        <v>503.36000000000007</v>
      </c>
      <c r="V42" s="174">
        <f t="shared" si="5"/>
        <v>-503.36000000000007</v>
      </c>
    </row>
    <row r="43" spans="1:22" x14ac:dyDescent="0.2">
      <c r="A43" s="103"/>
      <c r="B43" s="10"/>
      <c r="C43" s="143">
        <f>C40</f>
        <v>107.95</v>
      </c>
      <c r="D43" s="144">
        <f>D40</f>
        <v>80.8</v>
      </c>
      <c r="E43" s="145"/>
      <c r="F43" s="144">
        <f>IF('SPlanar TH'!$I$6="x",C43,0)</f>
        <v>107.95</v>
      </c>
      <c r="G43" s="144">
        <f>IF('SPlanar TH'!$I$6="x",D43,0)</f>
        <v>80.8</v>
      </c>
      <c r="H43" s="144">
        <f>SUM(C43:C44)/2</f>
        <v>107.95</v>
      </c>
      <c r="I43" s="144">
        <f>SUM(D43:D44)/2</f>
        <v>85.199999999999989</v>
      </c>
      <c r="J43" s="144">
        <f>IF('SPlanar TH'!$I$5="x",H43,0)</f>
        <v>107.95</v>
      </c>
      <c r="K43" s="144">
        <f>IF('SPlanar TH'!$I$5="x",I43,0)</f>
        <v>85.199999999999989</v>
      </c>
      <c r="L43" s="145"/>
      <c r="M43" s="144">
        <f>M42</f>
        <v>3.1112698372207932</v>
      </c>
      <c r="N43" s="144">
        <f>N42</f>
        <v>109.3725396744416</v>
      </c>
      <c r="O43" s="144"/>
      <c r="P43" s="144"/>
      <c r="Q43" s="158">
        <f t="shared" ref="Q43:Q44" si="36">Q42</f>
        <v>1125.5471771542934</v>
      </c>
      <c r="R43" s="174">
        <f t="shared" si="3"/>
        <v>562.77358857714671</v>
      </c>
      <c r="S43" s="174">
        <f t="shared" si="4"/>
        <v>-562.77358857714671</v>
      </c>
      <c r="T43" s="175">
        <f t="shared" si="6"/>
        <v>-118.82717715429328</v>
      </c>
      <c r="U43" s="174">
        <f t="shared" si="7"/>
        <v>503.36000000000007</v>
      </c>
      <c r="V43" s="174">
        <f t="shared" si="5"/>
        <v>-503.36000000000007</v>
      </c>
    </row>
    <row r="44" spans="1:22" x14ac:dyDescent="0.2">
      <c r="A44" s="1">
        <f t="shared" si="2"/>
        <v>14</v>
      </c>
      <c r="B44" s="122">
        <f t="shared" ref="B44" si="37">B41+1</f>
        <v>10</v>
      </c>
      <c r="C44" s="147">
        <f>C43</f>
        <v>107.95</v>
      </c>
      <c r="D44" s="148">
        <f>D41</f>
        <v>89.6</v>
      </c>
      <c r="E44" s="149"/>
      <c r="F44" s="148">
        <f>IF('SPlanar TH'!$I$6="x",C44,0)</f>
        <v>107.95</v>
      </c>
      <c r="G44" s="148">
        <f>IF('SPlanar TH'!$I$6="x",D44,0)</f>
        <v>89.6</v>
      </c>
      <c r="H44" s="149"/>
      <c r="I44" s="149"/>
      <c r="J44" s="148">
        <f>J43</f>
        <v>107.95</v>
      </c>
      <c r="K44" s="148">
        <f>K43</f>
        <v>85.199999999999989</v>
      </c>
      <c r="L44" s="149"/>
      <c r="M44" s="148">
        <f>M43</f>
        <v>3.1112698372207932</v>
      </c>
      <c r="N44" s="148">
        <f>N43</f>
        <v>109.3725396744416</v>
      </c>
      <c r="O44" s="148"/>
      <c r="P44" s="148"/>
      <c r="Q44" s="159">
        <f t="shared" si="36"/>
        <v>1125.5471771542934</v>
      </c>
      <c r="R44" s="174">
        <f t="shared" si="3"/>
        <v>562.77358857714671</v>
      </c>
      <c r="S44" s="174">
        <f t="shared" si="4"/>
        <v>-562.77358857714671</v>
      </c>
      <c r="T44" s="175">
        <f t="shared" si="6"/>
        <v>-118.82717715429328</v>
      </c>
      <c r="U44" s="174">
        <f t="shared" si="7"/>
        <v>503.36000000000007</v>
      </c>
      <c r="V44" s="174">
        <f t="shared" si="5"/>
        <v>-503.36000000000007</v>
      </c>
    </row>
    <row r="45" spans="1:22" x14ac:dyDescent="0.2">
      <c r="A45" s="103"/>
      <c r="B45" s="10"/>
      <c r="C45" s="160"/>
      <c r="D45" s="161"/>
      <c r="E45" s="161"/>
      <c r="F45" s="153"/>
      <c r="G45" s="154"/>
      <c r="H45" s="161"/>
      <c r="I45" s="161"/>
      <c r="J45" s="154">
        <f>J44</f>
        <v>107.95</v>
      </c>
      <c r="K45" s="154">
        <f>K44</f>
        <v>85.199999999999989</v>
      </c>
      <c r="L45" s="161"/>
      <c r="M45" s="154">
        <f>((H43-H40)^2+(I43-I40)^2)^0.5</f>
        <v>2.2000000000000028</v>
      </c>
      <c r="N45" s="154">
        <f>N42+M45</f>
        <v>111.5725396744416</v>
      </c>
      <c r="O45" s="154">
        <f t="shared" ref="O45" si="38">$O$14</f>
        <v>57.2</v>
      </c>
      <c r="P45" s="154">
        <v>2</v>
      </c>
      <c r="Q45" s="156">
        <f t="shared" ref="Q45" si="39">((C43-C44)^2+(D43-D44)^2)^0.5*O45*P45</f>
        <v>1006.7199999999997</v>
      </c>
      <c r="R45" s="174">
        <f t="shared" si="3"/>
        <v>503.35999999999984</v>
      </c>
      <c r="S45" s="174">
        <f t="shared" si="4"/>
        <v>-503.35999999999984</v>
      </c>
      <c r="T45" s="175">
        <f t="shared" si="6"/>
        <v>4.5474735088646412E-13</v>
      </c>
      <c r="U45" s="174">
        <f t="shared" si="7"/>
        <v>503.36000000000007</v>
      </c>
      <c r="V45" s="174">
        <f t="shared" si="5"/>
        <v>-503.36000000000007</v>
      </c>
    </row>
    <row r="46" spans="1:22" x14ac:dyDescent="0.2">
      <c r="A46" s="103"/>
      <c r="B46" s="10"/>
      <c r="C46" s="143">
        <f>Panels!C58</f>
        <v>109.85000000000001</v>
      </c>
      <c r="D46" s="144">
        <f>Panels!D58</f>
        <v>80.8</v>
      </c>
      <c r="E46" s="171"/>
      <c r="F46" s="144">
        <f>IF('SPlanar TH'!$I$6="x",C46,0)</f>
        <v>109.85000000000001</v>
      </c>
      <c r="G46" s="144">
        <f>IF('SPlanar TH'!$I$6="x",D46,0)</f>
        <v>80.8</v>
      </c>
      <c r="H46" s="144">
        <f>SUM(C46:C47)/2</f>
        <v>109.85000000000001</v>
      </c>
      <c r="I46" s="144">
        <f>SUM(D46:D47)/2</f>
        <v>85.199999999999989</v>
      </c>
      <c r="J46" s="144">
        <f>IF('SPlanar TH'!$I$5="x",H46,0)</f>
        <v>109.85000000000001</v>
      </c>
      <c r="K46" s="144">
        <f>IF('SPlanar TH'!$I$5="x",I46,0)</f>
        <v>85.199999999999989</v>
      </c>
      <c r="L46" s="145"/>
      <c r="M46" s="144">
        <f>M45</f>
        <v>2.2000000000000028</v>
      </c>
      <c r="N46" s="144">
        <f>N45</f>
        <v>111.5725396744416</v>
      </c>
      <c r="O46" s="144"/>
      <c r="P46" s="144"/>
      <c r="Q46" s="158">
        <f t="shared" ref="Q46:Q47" si="40">Q45</f>
        <v>1006.7199999999997</v>
      </c>
      <c r="R46" s="174">
        <f t="shared" si="3"/>
        <v>503.35999999999984</v>
      </c>
      <c r="S46" s="174">
        <f t="shared" si="4"/>
        <v>-503.35999999999984</v>
      </c>
      <c r="T46" s="175">
        <f t="shared" si="6"/>
        <v>4.5474735088646412E-13</v>
      </c>
      <c r="U46" s="174">
        <f t="shared" si="7"/>
        <v>503.36000000000007</v>
      </c>
      <c r="V46" s="174">
        <f t="shared" si="5"/>
        <v>-503.36000000000007</v>
      </c>
    </row>
    <row r="47" spans="1:22" x14ac:dyDescent="0.2">
      <c r="A47" s="1">
        <f t="shared" si="2"/>
        <v>13</v>
      </c>
      <c r="B47" s="122">
        <f t="shared" ref="B47" si="41">B44+1</f>
        <v>11</v>
      </c>
      <c r="C47" s="147">
        <f>C46</f>
        <v>109.85000000000001</v>
      </c>
      <c r="D47" s="148">
        <f>D44</f>
        <v>89.6</v>
      </c>
      <c r="E47" s="149"/>
      <c r="F47" s="148">
        <f>IF('SPlanar TH'!$I$6="x",C47,0)</f>
        <v>109.85000000000001</v>
      </c>
      <c r="G47" s="148">
        <f>IF('SPlanar TH'!$I$6="x",D47,0)</f>
        <v>89.6</v>
      </c>
      <c r="H47" s="149"/>
      <c r="I47" s="149"/>
      <c r="J47" s="148">
        <f>J46</f>
        <v>109.85000000000001</v>
      </c>
      <c r="K47" s="148">
        <f>K46</f>
        <v>85.199999999999989</v>
      </c>
      <c r="L47" s="149"/>
      <c r="M47" s="148">
        <f>M46</f>
        <v>2.2000000000000028</v>
      </c>
      <c r="N47" s="148">
        <f>N46</f>
        <v>111.5725396744416</v>
      </c>
      <c r="O47" s="148"/>
      <c r="P47" s="148"/>
      <c r="Q47" s="159">
        <f t="shared" si="40"/>
        <v>1006.7199999999997</v>
      </c>
      <c r="R47" s="174">
        <f t="shared" si="3"/>
        <v>503.35999999999984</v>
      </c>
      <c r="S47" s="174">
        <f t="shared" si="4"/>
        <v>-503.35999999999984</v>
      </c>
      <c r="T47" s="175">
        <f t="shared" si="6"/>
        <v>4.5474735088646412E-13</v>
      </c>
      <c r="U47" s="174">
        <f t="shared" si="7"/>
        <v>503.36000000000007</v>
      </c>
      <c r="V47" s="174">
        <f t="shared" si="5"/>
        <v>-503.36000000000007</v>
      </c>
    </row>
    <row r="48" spans="1:22" x14ac:dyDescent="0.2">
      <c r="A48" s="103"/>
      <c r="B48" s="10"/>
      <c r="C48" s="160"/>
      <c r="D48" s="161"/>
      <c r="E48" s="161"/>
      <c r="F48" s="153"/>
      <c r="G48" s="154"/>
      <c r="H48" s="161"/>
      <c r="I48" s="161"/>
      <c r="J48" s="154">
        <f>J47</f>
        <v>109.85000000000001</v>
      </c>
      <c r="K48" s="154">
        <f>K47</f>
        <v>85.199999999999989</v>
      </c>
      <c r="L48" s="161"/>
      <c r="M48" s="154">
        <f>((H46-H43)^2+(I46-I43)^2)^0.5</f>
        <v>1.9000000000000057</v>
      </c>
      <c r="N48" s="154">
        <f>N45+M48</f>
        <v>113.47253967444161</v>
      </c>
      <c r="O48" s="154">
        <f t="shared" ref="O48" si="42">$O$14</f>
        <v>57.2</v>
      </c>
      <c r="P48" s="154">
        <v>2</v>
      </c>
      <c r="Q48" s="156">
        <f t="shared" ref="Q48" si="43">((C46-C47)^2+(D46-D47)^2)^0.5*O48*P48</f>
        <v>1006.7199999999997</v>
      </c>
      <c r="R48" s="174">
        <f t="shared" si="3"/>
        <v>503.35999999999984</v>
      </c>
      <c r="S48" s="174">
        <f t="shared" si="4"/>
        <v>-503.35999999999984</v>
      </c>
      <c r="T48" s="175">
        <f t="shared" si="6"/>
        <v>4.5474735088646412E-13</v>
      </c>
      <c r="U48" s="174">
        <f t="shared" si="7"/>
        <v>503.36000000000007</v>
      </c>
      <c r="V48" s="174">
        <f t="shared" si="5"/>
        <v>-503.36000000000007</v>
      </c>
    </row>
    <row r="49" spans="1:33" x14ac:dyDescent="0.2">
      <c r="A49" s="103"/>
      <c r="B49" s="10"/>
      <c r="C49" s="143">
        <f>C46</f>
        <v>109.85000000000001</v>
      </c>
      <c r="D49" s="144">
        <f>D46</f>
        <v>80.8</v>
      </c>
      <c r="E49" s="145"/>
      <c r="F49" s="144">
        <f>IF('SPlanar TH'!$I$6="x",C49,0)</f>
        <v>109.85000000000001</v>
      </c>
      <c r="G49" s="144">
        <f>IF('SPlanar TH'!$I$6="x",D49,0)</f>
        <v>80.8</v>
      </c>
      <c r="H49" s="144">
        <f>SUM(C49:C50)/2</f>
        <v>111.88213970555735</v>
      </c>
      <c r="I49" s="144">
        <f>SUM(D49:D50)/2</f>
        <v>85.199999999999989</v>
      </c>
      <c r="J49" s="144">
        <f>IF('SPlanar TH'!$I$5="x",H49,0)</f>
        <v>111.88213970555735</v>
      </c>
      <c r="K49" s="144">
        <f>IF('SPlanar TH'!$I$5="x",I49,0)</f>
        <v>85.199999999999989</v>
      </c>
      <c r="L49" s="145"/>
      <c r="M49" s="144">
        <f>M48</f>
        <v>1.9000000000000057</v>
      </c>
      <c r="N49" s="144">
        <f>N48</f>
        <v>113.47253967444161</v>
      </c>
      <c r="O49" s="144"/>
      <c r="P49" s="144"/>
      <c r="Q49" s="158">
        <f t="shared" ref="Q49:Q50" si="44">Q48</f>
        <v>1006.7199999999997</v>
      </c>
      <c r="R49" s="174">
        <f t="shared" si="3"/>
        <v>503.35999999999984</v>
      </c>
      <c r="S49" s="174">
        <f t="shared" si="4"/>
        <v>-503.35999999999984</v>
      </c>
      <c r="T49" s="175">
        <f t="shared" si="6"/>
        <v>4.5474735088646412E-13</v>
      </c>
      <c r="U49" s="174">
        <f t="shared" si="7"/>
        <v>503.36000000000007</v>
      </c>
      <c r="V49" s="174">
        <f t="shared" si="5"/>
        <v>-503.36000000000007</v>
      </c>
    </row>
    <row r="50" spans="1:33" x14ac:dyDescent="0.2">
      <c r="A50" s="1">
        <f t="shared" si="2"/>
        <v>12</v>
      </c>
      <c r="B50" s="122">
        <f t="shared" ref="B50" si="45">B47+1</f>
        <v>12</v>
      </c>
      <c r="C50" s="147">
        <f>(C49+Panels!C41+'SPlanar TH'!E41*R4)/2</f>
        <v>113.91427941111469</v>
      </c>
      <c r="D50" s="148">
        <f>D47</f>
        <v>89.6</v>
      </c>
      <c r="E50" s="149"/>
      <c r="F50" s="148">
        <f>IF('SPlanar TH'!$I$6="x",C50,0)</f>
        <v>113.91427941111469</v>
      </c>
      <c r="G50" s="148">
        <f>IF('SPlanar TH'!$I$6="x",D50,0)</f>
        <v>89.6</v>
      </c>
      <c r="H50" s="165"/>
      <c r="I50" s="166"/>
      <c r="J50" s="148">
        <f>J49</f>
        <v>111.88213970555735</v>
      </c>
      <c r="K50" s="148">
        <f>K49</f>
        <v>85.199999999999989</v>
      </c>
      <c r="L50" s="149"/>
      <c r="M50" s="148">
        <f>M49</f>
        <v>1.9000000000000057</v>
      </c>
      <c r="N50" s="148">
        <f>N49</f>
        <v>113.47253967444161</v>
      </c>
      <c r="O50" s="148"/>
      <c r="P50" s="148"/>
      <c r="Q50" s="159">
        <f t="shared" si="44"/>
        <v>1006.7199999999997</v>
      </c>
      <c r="R50" s="174">
        <f t="shared" ref="R50:R81" si="46">Q50/2</f>
        <v>503.35999999999984</v>
      </c>
      <c r="S50" s="174">
        <f t="shared" ref="S50:S81" si="47">-R50</f>
        <v>-503.35999999999984</v>
      </c>
      <c r="T50" s="175">
        <f t="shared" si="6"/>
        <v>4.5474735088646412E-13</v>
      </c>
      <c r="U50" s="174">
        <f t="shared" si="7"/>
        <v>503.36000000000007</v>
      </c>
      <c r="V50" s="174">
        <f t="shared" ref="V50:V81" si="48">-U50</f>
        <v>-503.36000000000007</v>
      </c>
    </row>
    <row r="51" spans="1:33" x14ac:dyDescent="0.2">
      <c r="A51" s="103"/>
      <c r="B51" s="10"/>
      <c r="C51" s="151"/>
      <c r="D51" s="152"/>
      <c r="E51" s="152"/>
      <c r="F51" s="153"/>
      <c r="G51" s="154"/>
      <c r="H51" s="152"/>
      <c r="I51" s="153"/>
      <c r="J51" s="154">
        <f>J50</f>
        <v>111.88213970555735</v>
      </c>
      <c r="K51" s="154">
        <f>K50</f>
        <v>85.199999999999989</v>
      </c>
      <c r="L51" s="161"/>
      <c r="M51" s="154">
        <f>((H49-H46)^2+(I49-I46)^2)^0.5</f>
        <v>2.0321397055573414</v>
      </c>
      <c r="N51" s="154">
        <f>N48+M51</f>
        <v>115.50467937999895</v>
      </c>
      <c r="O51" s="154">
        <f t="shared" ref="O51" si="49">$O$14</f>
        <v>57.2</v>
      </c>
      <c r="P51" s="154">
        <v>2</v>
      </c>
      <c r="Q51" s="156">
        <f t="shared" ref="Q51" si="50">((C49-C50)^2+(D49-D50)^2)^0.5*O51*P51</f>
        <v>1108.9035015110901</v>
      </c>
      <c r="R51" s="174">
        <f t="shared" si="46"/>
        <v>554.45175075554505</v>
      </c>
      <c r="S51" s="174">
        <f t="shared" si="47"/>
        <v>-554.45175075554505</v>
      </c>
      <c r="T51" s="175">
        <f t="shared" si="6"/>
        <v>-102.18350151108996</v>
      </c>
      <c r="U51" s="174">
        <f t="shared" si="7"/>
        <v>503.36000000000007</v>
      </c>
      <c r="V51" s="174">
        <f t="shared" si="48"/>
        <v>-503.36000000000007</v>
      </c>
    </row>
    <row r="52" spans="1:33" x14ac:dyDescent="0.2">
      <c r="A52" s="103"/>
      <c r="B52" s="10"/>
      <c r="C52" s="143">
        <f>C49</f>
        <v>109.85000000000001</v>
      </c>
      <c r="D52" s="144">
        <f>D49</f>
        <v>80.8</v>
      </c>
      <c r="E52" s="145"/>
      <c r="F52" s="144">
        <f>IF('SPlanar TH'!$I$6="x",C52,0)</f>
        <v>109.85000000000001</v>
      </c>
      <c r="G52" s="144">
        <f>IF('SPlanar TH'!$I$6="x",D52,0)</f>
        <v>80.8</v>
      </c>
      <c r="H52" s="144">
        <f>SUM(C52:C53)/2</f>
        <v>114.08045145683354</v>
      </c>
      <c r="I52" s="144">
        <f>SUM(D52:D53)/2</f>
        <v>83</v>
      </c>
      <c r="J52" s="144">
        <f>IF('SPlanar TH'!$I$5="x",H52,0)</f>
        <v>114.08045145683354</v>
      </c>
      <c r="K52" s="144">
        <f>IF('SPlanar TH'!$I$5="x",I52,0)</f>
        <v>83</v>
      </c>
      <c r="L52" s="145"/>
      <c r="M52" s="144">
        <f>M51</f>
        <v>2.0321397055573414</v>
      </c>
      <c r="N52" s="144">
        <f>N51</f>
        <v>115.50467937999895</v>
      </c>
      <c r="O52" s="144"/>
      <c r="P52" s="144"/>
      <c r="Q52" s="158">
        <f t="shared" ref="Q52:Q53" si="51">Q51</f>
        <v>1108.9035015110901</v>
      </c>
      <c r="R52" s="174">
        <f t="shared" si="46"/>
        <v>554.45175075554505</v>
      </c>
      <c r="S52" s="174">
        <f t="shared" si="47"/>
        <v>-554.45175075554505</v>
      </c>
      <c r="T52" s="175">
        <f t="shared" si="6"/>
        <v>-102.18350151108996</v>
      </c>
      <c r="U52" s="174">
        <f t="shared" si="7"/>
        <v>503.36000000000007</v>
      </c>
      <c r="V52" s="174">
        <f t="shared" si="48"/>
        <v>-503.36000000000007</v>
      </c>
    </row>
    <row r="53" spans="1:33" x14ac:dyDescent="0.2">
      <c r="A53" s="1">
        <f t="shared" si="2"/>
        <v>11</v>
      </c>
      <c r="B53" s="122">
        <f t="shared" ref="B53" si="52">B50+1</f>
        <v>13</v>
      </c>
      <c r="C53" s="147">
        <f>(C56+Panels!C41+'SPlanar TH'!E41*R4)/2</f>
        <v>118.31090291366706</v>
      </c>
      <c r="D53" s="148">
        <f>(D50+D52)/2</f>
        <v>85.199999999999989</v>
      </c>
      <c r="E53" s="149"/>
      <c r="F53" s="148">
        <f>IF('SPlanar TH'!$I$6="x",C53,0)</f>
        <v>118.31090291366706</v>
      </c>
      <c r="G53" s="148">
        <f>IF('SPlanar TH'!$I$6="x",D53,0)</f>
        <v>85.199999999999989</v>
      </c>
      <c r="H53" s="149"/>
      <c r="I53" s="149"/>
      <c r="J53" s="148">
        <f>J52</f>
        <v>114.08045145683354</v>
      </c>
      <c r="K53" s="148">
        <f>K52</f>
        <v>83</v>
      </c>
      <c r="L53" s="149"/>
      <c r="M53" s="148">
        <f>M52</f>
        <v>2.0321397055573414</v>
      </c>
      <c r="N53" s="148">
        <f>N52</f>
        <v>115.50467937999895</v>
      </c>
      <c r="O53" s="148"/>
      <c r="P53" s="148"/>
      <c r="Q53" s="159">
        <f t="shared" si="51"/>
        <v>1108.9035015110901</v>
      </c>
      <c r="R53" s="174">
        <f t="shared" si="46"/>
        <v>554.45175075554505</v>
      </c>
      <c r="S53" s="174">
        <f t="shared" si="47"/>
        <v>-554.45175075554505</v>
      </c>
      <c r="T53" s="175">
        <f t="shared" si="6"/>
        <v>-102.18350151108996</v>
      </c>
      <c r="U53" s="174">
        <f t="shared" si="7"/>
        <v>503.36000000000007</v>
      </c>
      <c r="V53" s="174">
        <f t="shared" si="48"/>
        <v>-503.36000000000007</v>
      </c>
    </row>
    <row r="54" spans="1:33" x14ac:dyDescent="0.2">
      <c r="A54" s="103"/>
      <c r="B54" s="10"/>
      <c r="C54" s="151"/>
      <c r="D54" s="152"/>
      <c r="E54" s="152"/>
      <c r="F54" s="153"/>
      <c r="G54" s="154"/>
      <c r="H54" s="161"/>
      <c r="I54" s="161"/>
      <c r="J54" s="154">
        <f>J53</f>
        <v>114.08045145683354</v>
      </c>
      <c r="K54" s="154">
        <f>K53</f>
        <v>83</v>
      </c>
      <c r="L54" s="161"/>
      <c r="M54" s="154">
        <f>((H52-H49)^2+(I52-I49)^2)^0.5</f>
        <v>3.1100762942087057</v>
      </c>
      <c r="N54" s="154">
        <f>N51+M54</f>
        <v>118.61475567420766</v>
      </c>
      <c r="O54" s="154">
        <f t="shared" ref="O54" si="53">$O$14</f>
        <v>57.2</v>
      </c>
      <c r="P54" s="154">
        <v>2</v>
      </c>
      <c r="Q54" s="156">
        <f t="shared" ref="Q54" si="54">((C52-C53)^2+(D52-D53)^2)^0.5*O54*P54</f>
        <v>1090.9878710419184</v>
      </c>
      <c r="R54" s="174">
        <f t="shared" si="46"/>
        <v>545.49393552095921</v>
      </c>
      <c r="S54" s="174">
        <f t="shared" si="47"/>
        <v>-545.49393552095921</v>
      </c>
      <c r="T54" s="175">
        <f t="shared" si="6"/>
        <v>-84.267871041918283</v>
      </c>
      <c r="U54" s="174">
        <f t="shared" si="7"/>
        <v>503.36000000000007</v>
      </c>
      <c r="V54" s="174">
        <f t="shared" si="48"/>
        <v>-503.36000000000007</v>
      </c>
    </row>
    <row r="55" spans="1:33" x14ac:dyDescent="0.2">
      <c r="A55" s="103"/>
      <c r="B55" s="10"/>
      <c r="C55" s="147">
        <f>C49</f>
        <v>109.85000000000001</v>
      </c>
      <c r="D55" s="148">
        <f>D49</f>
        <v>80.8</v>
      </c>
      <c r="E55" s="171" t="s">
        <v>53</v>
      </c>
      <c r="F55" s="144">
        <f>IF('SPlanar TH'!$I$6="x",C55,0)</f>
        <v>109.85000000000001</v>
      </c>
      <c r="G55" s="144">
        <f>IF('SPlanar TH'!$I$6="x",D55,0)</f>
        <v>80.8</v>
      </c>
      <c r="H55" s="144">
        <f>SUM(C55:C56)/2</f>
        <v>114.24662350255238</v>
      </c>
      <c r="I55" s="144">
        <f>SUM(D55:D56)/2</f>
        <v>80.972432245245074</v>
      </c>
      <c r="J55" s="144">
        <f>IF('SPlanar TH'!$I$5="x",H55,0)</f>
        <v>114.24662350255238</v>
      </c>
      <c r="K55" s="144">
        <f>IF('SPlanar TH'!$I$5="x",I55,0)</f>
        <v>80.972432245245074</v>
      </c>
      <c r="L55" s="145"/>
      <c r="M55" s="144">
        <f>M54</f>
        <v>3.1100762942087057</v>
      </c>
      <c r="N55" s="144">
        <f>N54</f>
        <v>118.61475567420766</v>
      </c>
      <c r="O55" s="144"/>
      <c r="P55" s="144"/>
      <c r="Q55" s="158">
        <f t="shared" ref="Q55:Q56" si="55">Q54</f>
        <v>1090.9878710419184</v>
      </c>
      <c r="R55" s="174">
        <f t="shared" si="46"/>
        <v>545.49393552095921</v>
      </c>
      <c r="S55" s="174">
        <f t="shared" si="47"/>
        <v>-545.49393552095921</v>
      </c>
      <c r="T55" s="175">
        <f t="shared" si="6"/>
        <v>-84.267871041918283</v>
      </c>
      <c r="U55" s="174">
        <f t="shared" si="7"/>
        <v>503.36000000000007</v>
      </c>
      <c r="V55" s="174">
        <f t="shared" si="48"/>
        <v>-503.36000000000007</v>
      </c>
      <c r="Y55" s="196"/>
      <c r="Z55" s="197">
        <f>Panels!C58</f>
        <v>109.85000000000001</v>
      </c>
      <c r="AA55" s="197">
        <f>Panels!D58</f>
        <v>80.8</v>
      </c>
      <c r="AB55" s="197">
        <f>Z55+100*U4</f>
        <v>209.77318115694663</v>
      </c>
      <c r="AC55" s="197">
        <f>AA55+100*V4</f>
        <v>84.718911516738842</v>
      </c>
      <c r="AD55" s="198">
        <f>(AC55-AA55)/(AB55-Z55)</f>
        <v>3.9219242936066226E-2</v>
      </c>
      <c r="AE55" s="198">
        <f>(AC55*Z55-AA55*AB55)/(Z55-AB55)</f>
        <v>76.491766163473116</v>
      </c>
    </row>
    <row r="56" spans="1:33" x14ac:dyDescent="0.2">
      <c r="A56" s="1">
        <f t="shared" si="2"/>
        <v>10</v>
      </c>
      <c r="B56" s="122">
        <f t="shared" ref="B56" si="56">B53+1</f>
        <v>14</v>
      </c>
      <c r="C56" s="147">
        <f>AF56</f>
        <v>118.64324700510475</v>
      </c>
      <c r="D56" s="148">
        <f>AG56</f>
        <v>81.144864490490136</v>
      </c>
      <c r="E56" s="149"/>
      <c r="F56" s="148">
        <f>IF('SPlanar TH'!$I$6="x",C56,0)</f>
        <v>118.64324700510475</v>
      </c>
      <c r="G56" s="148">
        <f>IF('SPlanar TH'!$I$6="x",D56,0)</f>
        <v>81.144864490490136</v>
      </c>
      <c r="H56" s="149"/>
      <c r="I56" s="149"/>
      <c r="J56" s="148">
        <f>J55</f>
        <v>114.24662350255238</v>
      </c>
      <c r="K56" s="148">
        <f>K55</f>
        <v>80.972432245245074</v>
      </c>
      <c r="L56" s="149"/>
      <c r="M56" s="148">
        <f>M55</f>
        <v>3.1100762942087057</v>
      </c>
      <c r="N56" s="148">
        <f>N55</f>
        <v>118.61475567420766</v>
      </c>
      <c r="O56" s="148"/>
      <c r="P56" s="148"/>
      <c r="Q56" s="159">
        <f t="shared" si="55"/>
        <v>1090.9878710419184</v>
      </c>
      <c r="R56" s="174">
        <f t="shared" si="46"/>
        <v>545.49393552095921</v>
      </c>
      <c r="S56" s="174">
        <f t="shared" si="47"/>
        <v>-545.49393552095921</v>
      </c>
      <c r="T56" s="175">
        <f t="shared" si="6"/>
        <v>-84.267871041918283</v>
      </c>
      <c r="U56" s="174">
        <f t="shared" si="7"/>
        <v>503.36000000000007</v>
      </c>
      <c r="V56" s="174">
        <f t="shared" si="48"/>
        <v>-503.36000000000007</v>
      </c>
      <c r="Y56" s="196"/>
      <c r="Z56" s="197">
        <f>Panels!C75</f>
        <v>117.82975458216781</v>
      </c>
      <c r="AA56" s="197">
        <f>Panels!D75</f>
        <v>91.5</v>
      </c>
      <c r="AB56" s="197">
        <f>Panels!C76</f>
        <v>123.70480657336708</v>
      </c>
      <c r="AC56" s="197">
        <f>Panels!D76</f>
        <v>16.715087714469703</v>
      </c>
      <c r="AD56" s="198">
        <f>IF(AB56&lt;&gt;Z56,(AC56-AA56)/(AB56-Z56),"")</f>
        <v>-12.729234123809769</v>
      </c>
      <c r="AE56" s="198">
        <f>IF(AD56&lt;&gt;"",(AC56*Z56-AA56*AB56)/(Z56-AB56),Z56)</f>
        <v>1591.3825328274609</v>
      </c>
      <c r="AF56" s="197">
        <f>IF(AD56&lt;&gt;"",(AE55-AE56)/(AD56-AD55),Z56)</f>
        <v>118.64324700510475</v>
      </c>
      <c r="AG56" s="197">
        <f>IF(AD56&lt;&gt;"",AF56*AD56+AE56,AF56*AD55+AE55)</f>
        <v>81.144864490490136</v>
      </c>
    </row>
    <row r="57" spans="1:33" x14ac:dyDescent="0.2">
      <c r="A57" s="103"/>
      <c r="B57" s="10"/>
      <c r="C57" s="160"/>
      <c r="D57" s="161"/>
      <c r="E57" s="161"/>
      <c r="F57" s="153"/>
      <c r="G57" s="154"/>
      <c r="H57" s="161"/>
      <c r="I57" s="161"/>
      <c r="J57" s="154">
        <f>J56</f>
        <v>114.24662350255238</v>
      </c>
      <c r="K57" s="154">
        <f>K56</f>
        <v>80.972432245245074</v>
      </c>
      <c r="L57" s="161"/>
      <c r="M57" s="154">
        <f>((H55-H52)^2+(I55-I52)^2)^0.5</f>
        <v>2.0343657854231418</v>
      </c>
      <c r="N57" s="154">
        <f>N54+M57</f>
        <v>120.64912145963081</v>
      </c>
      <c r="O57" s="154">
        <f t="shared" ref="O57" si="57">$O$14</f>
        <v>57.2</v>
      </c>
      <c r="P57" s="154">
        <v>2</v>
      </c>
      <c r="Q57" s="156">
        <f t="shared" ref="Q57" si="58">((C55-C56)^2+(D55-D56)^2)^0.5*O57*P57</f>
        <v>1006.7208086619752</v>
      </c>
      <c r="R57" s="174">
        <f t="shared" si="46"/>
        <v>503.36040433098759</v>
      </c>
      <c r="S57" s="174">
        <f t="shared" si="47"/>
        <v>-503.36040433098759</v>
      </c>
      <c r="T57" s="175">
        <f t="shared" si="6"/>
        <v>-8.0866197504292359E-4</v>
      </c>
      <c r="U57" s="174">
        <f t="shared" si="7"/>
        <v>503.36000000000007</v>
      </c>
      <c r="V57" s="174">
        <f t="shared" si="48"/>
        <v>-503.36000000000007</v>
      </c>
    </row>
    <row r="58" spans="1:33" x14ac:dyDescent="0.2">
      <c r="A58" s="103"/>
      <c r="B58" s="10"/>
      <c r="C58" s="143">
        <f>Panels!C76</f>
        <v>123.70480657336708</v>
      </c>
      <c r="D58" s="144">
        <f>Panels!D76</f>
        <v>16.715087714469703</v>
      </c>
      <c r="E58" s="145"/>
      <c r="F58" s="144">
        <f>IF('SPlanar TH'!$I$6="x",C58,0)</f>
        <v>123.70480657336708</v>
      </c>
      <c r="G58" s="144">
        <f>IF('SPlanar TH'!$I$6="x",D58,0)</f>
        <v>16.715087714469703</v>
      </c>
      <c r="H58" s="144">
        <f>SUM(C58:C59)/2</f>
        <v>116.77740328668355</v>
      </c>
      <c r="I58" s="144">
        <f>SUM(D58:D59)/2</f>
        <v>16.443400202053155</v>
      </c>
      <c r="J58" s="144">
        <f>IF('SPlanar TH'!$I$5="x",H58,0)</f>
        <v>116.77740328668355</v>
      </c>
      <c r="K58" s="144">
        <f>IF('SPlanar TH'!$I$5="x",I58,0)</f>
        <v>16.443400202053155</v>
      </c>
      <c r="L58" s="145"/>
      <c r="M58" s="144">
        <f>M57</f>
        <v>2.0343657854231418</v>
      </c>
      <c r="N58" s="144">
        <f>N57</f>
        <v>120.64912145963081</v>
      </c>
      <c r="O58" s="144"/>
      <c r="P58" s="144"/>
      <c r="Q58" s="158">
        <f t="shared" ref="Q58:Q59" si="59">Q57</f>
        <v>1006.7208086619752</v>
      </c>
      <c r="R58" s="199">
        <f t="shared" si="46"/>
        <v>503.36040433098759</v>
      </c>
      <c r="S58" s="199">
        <f t="shared" si="47"/>
        <v>-503.36040433098759</v>
      </c>
      <c r="T58" s="200">
        <f t="shared" si="6"/>
        <v>0</v>
      </c>
      <c r="U58" s="199">
        <f>(($D$9-$D$8)*(N58-$E$8)/($E$9-$E$8)+$D$8)/2</f>
        <v>503.36040433098759</v>
      </c>
      <c r="V58" s="199">
        <f t="shared" si="48"/>
        <v>-503.36040433098759</v>
      </c>
    </row>
    <row r="59" spans="1:33" x14ac:dyDescent="0.2">
      <c r="A59" s="1">
        <f t="shared" si="2"/>
        <v>9</v>
      </c>
      <c r="B59" s="122">
        <f t="shared" ref="B59" si="60">B56+1</f>
        <v>15</v>
      </c>
      <c r="C59" s="147">
        <f>C55</f>
        <v>109.85000000000001</v>
      </c>
      <c r="D59" s="148">
        <f>D58-(C58-C59)*W4</f>
        <v>16.17171268963661</v>
      </c>
      <c r="E59" s="149"/>
      <c r="F59" s="148">
        <f>IF('SPlanar TH'!$I$6="x",C59,0)</f>
        <v>109.85000000000001</v>
      </c>
      <c r="G59" s="148">
        <f>IF('SPlanar TH'!$I$6="x",D59,0)</f>
        <v>16.17171268963661</v>
      </c>
      <c r="H59" s="165"/>
      <c r="I59" s="166"/>
      <c r="J59" s="148">
        <f>J58</f>
        <v>116.77740328668355</v>
      </c>
      <c r="K59" s="148">
        <f>K58</f>
        <v>16.443400202053155</v>
      </c>
      <c r="L59" s="149"/>
      <c r="M59" s="148">
        <f>M58</f>
        <v>2.0343657854231418</v>
      </c>
      <c r="N59" s="148">
        <f>N58</f>
        <v>120.64912145963081</v>
      </c>
      <c r="O59" s="148"/>
      <c r="P59" s="148"/>
      <c r="Q59" s="159">
        <f t="shared" si="59"/>
        <v>1006.7208086619752</v>
      </c>
      <c r="R59" s="199">
        <f t="shared" si="46"/>
        <v>503.36040433098759</v>
      </c>
      <c r="S59" s="199">
        <f t="shared" si="47"/>
        <v>-503.36040433098759</v>
      </c>
      <c r="T59" s="200">
        <f t="shared" si="6"/>
        <v>0</v>
      </c>
      <c r="U59" s="199">
        <f t="shared" ref="U59:U84" si="61">(($D$9-$D$8)*(N59-$E$8)/($E$9-$E$8)+$D$8)/2</f>
        <v>503.36040433098759</v>
      </c>
      <c r="V59" s="199">
        <f t="shared" si="48"/>
        <v>-503.36040433098759</v>
      </c>
    </row>
    <row r="60" spans="1:33" x14ac:dyDescent="0.2">
      <c r="A60" s="103"/>
      <c r="B60" s="10"/>
      <c r="C60" s="151"/>
      <c r="D60" s="152"/>
      <c r="E60" s="152"/>
      <c r="F60" s="153"/>
      <c r="G60" s="154"/>
      <c r="H60" s="152"/>
      <c r="I60" s="153"/>
      <c r="J60" s="154">
        <f>J59</f>
        <v>116.77740328668355</v>
      </c>
      <c r="K60" s="154">
        <f>K59</f>
        <v>16.443400202053155</v>
      </c>
      <c r="L60" s="161"/>
      <c r="M60" s="154">
        <f>((H58-H55)^2+(I58-I55)^2)^0.5</f>
        <v>64.578640607766417</v>
      </c>
      <c r="N60" s="154">
        <f>N57+M60</f>
        <v>185.22776206739724</v>
      </c>
      <c r="O60" s="154">
        <f t="shared" ref="O60" si="62">$O$14</f>
        <v>57.2</v>
      </c>
      <c r="P60" s="154">
        <v>2</v>
      </c>
      <c r="Q60" s="156">
        <f t="shared" ref="Q60" si="63">((C58-C59)^2+(D58-D59)^2)^0.5*O60*P60</f>
        <v>1586.2083789182939</v>
      </c>
      <c r="R60" s="199">
        <f t="shared" si="46"/>
        <v>793.10418945914694</v>
      </c>
      <c r="S60" s="199">
        <f t="shared" si="47"/>
        <v>-793.10418945914694</v>
      </c>
      <c r="T60" s="200">
        <f t="shared" si="6"/>
        <v>-5.3009898692835122E-7</v>
      </c>
      <c r="U60" s="199">
        <f t="shared" si="61"/>
        <v>793.10418919409744</v>
      </c>
      <c r="V60" s="199">
        <f t="shared" si="48"/>
        <v>-793.10418919409744</v>
      </c>
    </row>
    <row r="61" spans="1:33" x14ac:dyDescent="0.2">
      <c r="A61" s="103"/>
      <c r="B61" s="10"/>
      <c r="C61" s="143">
        <f>C58</f>
        <v>123.70480657336708</v>
      </c>
      <c r="D61" s="144">
        <f>D58</f>
        <v>16.715087714469703</v>
      </c>
      <c r="E61" s="145"/>
      <c r="F61" s="144">
        <f>IF('SPlanar TH'!$I$6="x",C61,0)</f>
        <v>123.70480657336708</v>
      </c>
      <c r="G61" s="144">
        <f>IF('SPlanar TH'!$I$6="x",D61,0)</f>
        <v>16.715087714469703</v>
      </c>
      <c r="H61" s="144">
        <f>SUM(C61:C62)/2</f>
        <v>116.77740328668355</v>
      </c>
      <c r="I61" s="144">
        <f>SUM(D61:D62)/2</f>
        <v>12.875472029644005</v>
      </c>
      <c r="J61" s="144">
        <f>IF('SPlanar TH'!$I$5="x",H61,0)</f>
        <v>116.77740328668355</v>
      </c>
      <c r="K61" s="144">
        <f>IF('SPlanar TH'!$I$5="x",I61,0)</f>
        <v>12.875472029644005</v>
      </c>
      <c r="L61" s="145"/>
      <c r="M61" s="144">
        <f>M60</f>
        <v>64.578640607766417</v>
      </c>
      <c r="N61" s="144">
        <f>N60</f>
        <v>185.22776206739724</v>
      </c>
      <c r="O61" s="144"/>
      <c r="P61" s="144"/>
      <c r="Q61" s="158">
        <f t="shared" ref="Q61:Q62" si="64">Q60</f>
        <v>1586.2083789182939</v>
      </c>
      <c r="R61" s="199">
        <f t="shared" si="46"/>
        <v>793.10418945914694</v>
      </c>
      <c r="S61" s="199">
        <f t="shared" si="47"/>
        <v>-793.10418945914694</v>
      </c>
      <c r="T61" s="200">
        <f t="shared" si="6"/>
        <v>-5.3009898692835122E-7</v>
      </c>
      <c r="U61" s="199">
        <f t="shared" si="61"/>
        <v>793.10418919409744</v>
      </c>
      <c r="V61" s="199">
        <f t="shared" si="48"/>
        <v>-793.10418919409744</v>
      </c>
    </row>
    <row r="62" spans="1:33" x14ac:dyDescent="0.2">
      <c r="A62" s="1">
        <f t="shared" si="2"/>
        <v>8</v>
      </c>
      <c r="B62" s="122">
        <f t="shared" ref="B62" si="65">B59+1</f>
        <v>16</v>
      </c>
      <c r="C62" s="147">
        <f>C59</f>
        <v>109.85000000000001</v>
      </c>
      <c r="D62" s="148">
        <f>(D59+D26)/2</f>
        <v>9.0358563448183045</v>
      </c>
      <c r="E62" s="149"/>
      <c r="F62" s="148">
        <f>IF('SPlanar TH'!$I$6="x",C62,0)</f>
        <v>109.85000000000001</v>
      </c>
      <c r="G62" s="148">
        <f>IF('SPlanar TH'!$I$6="x",D62,0)</f>
        <v>9.0358563448183045</v>
      </c>
      <c r="H62" s="165"/>
      <c r="I62" s="166"/>
      <c r="J62" s="148">
        <f>J61</f>
        <v>116.77740328668355</v>
      </c>
      <c r="K62" s="148">
        <f>K61</f>
        <v>12.875472029644005</v>
      </c>
      <c r="L62" s="149"/>
      <c r="M62" s="148">
        <f>M61</f>
        <v>64.578640607766417</v>
      </c>
      <c r="N62" s="148">
        <f>N61</f>
        <v>185.22776206739724</v>
      </c>
      <c r="O62" s="148"/>
      <c r="P62" s="148"/>
      <c r="Q62" s="159">
        <f t="shared" si="64"/>
        <v>1586.2083789182939</v>
      </c>
      <c r="R62" s="199">
        <f t="shared" si="46"/>
        <v>793.10418945914694</v>
      </c>
      <c r="S62" s="199">
        <f t="shared" si="47"/>
        <v>-793.10418945914694</v>
      </c>
      <c r="T62" s="200">
        <f t="shared" si="6"/>
        <v>-5.3009898692835122E-7</v>
      </c>
      <c r="U62" s="199">
        <f t="shared" si="61"/>
        <v>793.10418919409744</v>
      </c>
      <c r="V62" s="199">
        <f t="shared" si="48"/>
        <v>-793.10418919409744</v>
      </c>
    </row>
    <row r="63" spans="1:33" x14ac:dyDescent="0.2">
      <c r="A63" s="103"/>
      <c r="B63" s="10"/>
      <c r="C63" s="160"/>
      <c r="D63" s="161"/>
      <c r="E63" s="161"/>
      <c r="F63" s="153"/>
      <c r="G63" s="154"/>
      <c r="H63" s="161"/>
      <c r="I63" s="161"/>
      <c r="J63" s="154">
        <f>J62</f>
        <v>116.77740328668355</v>
      </c>
      <c r="K63" s="154">
        <f>K62</f>
        <v>12.875472029644005</v>
      </c>
      <c r="L63" s="161"/>
      <c r="M63" s="154">
        <f>((H61-H58)^2+(I61-I58)^2)^0.5</f>
        <v>3.5679281724091503</v>
      </c>
      <c r="N63" s="154">
        <f>N60+M63</f>
        <v>188.79569023980639</v>
      </c>
      <c r="O63" s="154">
        <f t="shared" ref="O63" si="66">$O$14</f>
        <v>57.2</v>
      </c>
      <c r="P63" s="154">
        <v>2</v>
      </c>
      <c r="Q63" s="156">
        <f t="shared" ref="Q63" si="67">((C61-C62)^2+(D61-D62)^2)^0.5*O63*P63</f>
        <v>1812.1706026261929</v>
      </c>
      <c r="R63" s="199">
        <f t="shared" si="46"/>
        <v>906.08530131309647</v>
      </c>
      <c r="S63" s="199">
        <f t="shared" si="47"/>
        <v>-906.08530131309647</v>
      </c>
      <c r="T63" s="200">
        <f t="shared" si="6"/>
        <v>-193.94591038981775</v>
      </c>
      <c r="U63" s="199">
        <f t="shared" si="61"/>
        <v>809.11234611818759</v>
      </c>
      <c r="V63" s="199">
        <f t="shared" si="48"/>
        <v>-809.11234611818759</v>
      </c>
    </row>
    <row r="64" spans="1:33" x14ac:dyDescent="0.2">
      <c r="A64" s="103"/>
      <c r="B64" s="10"/>
      <c r="C64" s="143">
        <f>C61</f>
        <v>123.70480657336708</v>
      </c>
      <c r="D64" s="144">
        <f>D61</f>
        <v>16.715087714469703</v>
      </c>
      <c r="E64" s="145"/>
      <c r="F64" s="144">
        <f>IF('SPlanar TH'!$I$6="x",C64,0)</f>
        <v>123.70480657336708</v>
      </c>
      <c r="G64" s="144">
        <f>IF('SPlanar TH'!$I$6="x",D64,0)</f>
        <v>16.715087714469703</v>
      </c>
      <c r="H64" s="144">
        <f>SUM(C64:C65)/2</f>
        <v>120.38636406107355</v>
      </c>
      <c r="I64" s="144">
        <f>SUM(D64:D65)/2</f>
        <v>9.307543857234851</v>
      </c>
      <c r="J64" s="144">
        <f>IF('SPlanar TH'!$I$5="x",H64,0)</f>
        <v>120.38636406107355</v>
      </c>
      <c r="K64" s="144">
        <f>IF('SPlanar TH'!$I$5="x",I64,0)</f>
        <v>9.307543857234851</v>
      </c>
      <c r="L64" s="145"/>
      <c r="M64" s="144">
        <f>M63</f>
        <v>3.5679281724091503</v>
      </c>
      <c r="N64" s="144">
        <f>N63</f>
        <v>188.79569023980639</v>
      </c>
      <c r="O64" s="144"/>
      <c r="P64" s="144"/>
      <c r="Q64" s="158">
        <f t="shared" ref="Q64:Q65" si="68">Q63</f>
        <v>1812.1706026261929</v>
      </c>
      <c r="R64" s="199">
        <f t="shared" si="46"/>
        <v>906.08530131309647</v>
      </c>
      <c r="S64" s="199">
        <f t="shared" si="47"/>
        <v>-906.08530131309647</v>
      </c>
      <c r="T64" s="200">
        <f t="shared" si="6"/>
        <v>-193.94591038981775</v>
      </c>
      <c r="U64" s="199">
        <f t="shared" si="61"/>
        <v>809.11234611818759</v>
      </c>
      <c r="V64" s="199">
        <f t="shared" si="48"/>
        <v>-809.11234611818759</v>
      </c>
    </row>
    <row r="65" spans="1:22" x14ac:dyDescent="0.2">
      <c r="A65" s="1">
        <f t="shared" si="2"/>
        <v>7</v>
      </c>
      <c r="B65" s="122">
        <f t="shared" ref="B65" si="69">B62+1</f>
        <v>17</v>
      </c>
      <c r="C65" s="147">
        <f>(C62+C68)/2</f>
        <v>117.06792154878001</v>
      </c>
      <c r="D65" s="148">
        <f>D68</f>
        <v>1.9</v>
      </c>
      <c r="E65" s="149"/>
      <c r="F65" s="148">
        <f>IF('SPlanar TH'!$I$6="x",C65,0)</f>
        <v>117.06792154878001</v>
      </c>
      <c r="G65" s="148">
        <f>IF('SPlanar TH'!$I$6="x",D65,0)</f>
        <v>1.9</v>
      </c>
      <c r="H65" s="165"/>
      <c r="I65" s="166"/>
      <c r="J65" s="148">
        <f>J64</f>
        <v>120.38636406107355</v>
      </c>
      <c r="K65" s="148">
        <f>K64</f>
        <v>9.307543857234851</v>
      </c>
      <c r="L65" s="167"/>
      <c r="M65" s="148">
        <f>M64</f>
        <v>3.5679281724091503</v>
      </c>
      <c r="N65" s="148">
        <f>N64</f>
        <v>188.79569023980639</v>
      </c>
      <c r="O65" s="148"/>
      <c r="P65" s="148"/>
      <c r="Q65" s="159">
        <f t="shared" si="68"/>
        <v>1812.1706026261929</v>
      </c>
      <c r="R65" s="199">
        <f t="shared" si="46"/>
        <v>906.08530131309647</v>
      </c>
      <c r="S65" s="199">
        <f t="shared" si="47"/>
        <v>-906.08530131309647</v>
      </c>
      <c r="T65" s="200">
        <f t="shared" si="6"/>
        <v>-193.94591038981775</v>
      </c>
      <c r="U65" s="199">
        <f t="shared" si="61"/>
        <v>809.11234611818759</v>
      </c>
      <c r="V65" s="199">
        <f t="shared" si="48"/>
        <v>-809.11234611818759</v>
      </c>
    </row>
    <row r="66" spans="1:22" x14ac:dyDescent="0.2">
      <c r="A66" s="103"/>
      <c r="B66" s="10"/>
      <c r="C66" s="160"/>
      <c r="D66" s="161"/>
      <c r="E66" s="161"/>
      <c r="F66" s="153"/>
      <c r="G66" s="154"/>
      <c r="H66" s="161"/>
      <c r="I66" s="161"/>
      <c r="J66" s="154">
        <f>J65</f>
        <v>120.38636406107355</v>
      </c>
      <c r="K66" s="154">
        <f>K65</f>
        <v>9.307543857234851</v>
      </c>
      <c r="L66" s="154"/>
      <c r="M66" s="154">
        <f>((H64-H61)^2+(I64-I61)^2)^0.5</f>
        <v>5.0749097838835109</v>
      </c>
      <c r="N66" s="154">
        <f>N63+M66</f>
        <v>193.87060002368989</v>
      </c>
      <c r="O66" s="154">
        <f t="shared" ref="O66" si="70">$O$14</f>
        <v>57.2</v>
      </c>
      <c r="P66" s="154">
        <v>2</v>
      </c>
      <c r="Q66" s="156">
        <f t="shared" ref="Q66" si="71">((C64-C65)^2+(D64-D65)^2)^0.5*O66*P66</f>
        <v>1857.1425072024997</v>
      </c>
      <c r="R66" s="199">
        <f t="shared" si="46"/>
        <v>928.57125360124985</v>
      </c>
      <c r="S66" s="199">
        <f t="shared" si="47"/>
        <v>-928.57125360124985</v>
      </c>
      <c r="T66" s="200">
        <f t="shared" si="6"/>
        <v>-193.37880842208165</v>
      </c>
      <c r="U66" s="199">
        <f t="shared" si="61"/>
        <v>831.88184939020903</v>
      </c>
      <c r="V66" s="199">
        <f t="shared" si="48"/>
        <v>-831.88184939020903</v>
      </c>
    </row>
    <row r="67" spans="1:22" x14ac:dyDescent="0.2">
      <c r="A67" s="103"/>
      <c r="B67" s="10"/>
      <c r="C67" s="143">
        <f>C64</f>
        <v>123.70480657336708</v>
      </c>
      <c r="D67" s="144">
        <f>D64</f>
        <v>16.715087714469703</v>
      </c>
      <c r="E67" s="145"/>
      <c r="F67" s="144">
        <f>IF('SPlanar TH'!$I$6="x",C67,0)</f>
        <v>123.70480657336708</v>
      </c>
      <c r="G67" s="144">
        <f>IF('SPlanar TH'!$I$6="x",D67,0)</f>
        <v>16.715087714469703</v>
      </c>
      <c r="H67" s="144">
        <f>SUM(C67:C68)/2</f>
        <v>123.99532483546355</v>
      </c>
      <c r="I67" s="144">
        <f>SUM(D67:D68)/2</f>
        <v>9.307543857234851</v>
      </c>
      <c r="J67" s="144">
        <f>IF('SPlanar TH'!$I$5="x",H67,0)</f>
        <v>123.99532483546355</v>
      </c>
      <c r="K67" s="144">
        <f>IF('SPlanar TH'!$I$5="x",I67,0)</f>
        <v>9.307543857234851</v>
      </c>
      <c r="L67" s="144"/>
      <c r="M67" s="144">
        <f>M66</f>
        <v>5.0749097838835109</v>
      </c>
      <c r="N67" s="144">
        <f>N66</f>
        <v>193.87060002368989</v>
      </c>
      <c r="O67" s="144"/>
      <c r="P67" s="144"/>
      <c r="Q67" s="158">
        <f t="shared" ref="Q67:Q68" si="72">Q66</f>
        <v>1857.1425072024997</v>
      </c>
      <c r="R67" s="199">
        <f t="shared" si="46"/>
        <v>928.57125360124985</v>
      </c>
      <c r="S67" s="199">
        <f t="shared" si="47"/>
        <v>-928.57125360124985</v>
      </c>
      <c r="T67" s="200">
        <f t="shared" si="6"/>
        <v>-193.37880842208165</v>
      </c>
      <c r="U67" s="199">
        <f t="shared" si="61"/>
        <v>831.88184939020903</v>
      </c>
      <c r="V67" s="199">
        <f t="shared" si="48"/>
        <v>-831.88184939020903</v>
      </c>
    </row>
    <row r="68" spans="1:22" x14ac:dyDescent="0.2">
      <c r="A68" s="1">
        <f t="shared" si="2"/>
        <v>6</v>
      </c>
      <c r="B68" s="122">
        <f t="shared" ref="B68" si="73">B65+1</f>
        <v>18</v>
      </c>
      <c r="C68" s="147">
        <f>C67+(D67-D68)*W4</f>
        <v>124.28584309756</v>
      </c>
      <c r="D68" s="148">
        <f>D26</f>
        <v>1.9</v>
      </c>
      <c r="E68" s="149"/>
      <c r="F68" s="148">
        <f>IF('SPlanar TH'!$I$6="x",C68,0)</f>
        <v>124.28584309756</v>
      </c>
      <c r="G68" s="148">
        <f>IF('SPlanar TH'!$I$6="x",D68,0)</f>
        <v>1.9</v>
      </c>
      <c r="H68" s="165"/>
      <c r="I68" s="166"/>
      <c r="J68" s="148">
        <f>J67</f>
        <v>123.99532483546355</v>
      </c>
      <c r="K68" s="148">
        <f>K67</f>
        <v>9.307543857234851</v>
      </c>
      <c r="L68" s="149"/>
      <c r="M68" s="148">
        <f>M67</f>
        <v>5.0749097838835109</v>
      </c>
      <c r="N68" s="148">
        <f>N67</f>
        <v>193.87060002368989</v>
      </c>
      <c r="O68" s="148"/>
      <c r="P68" s="148"/>
      <c r="Q68" s="159">
        <f t="shared" si="72"/>
        <v>1857.1425072024997</v>
      </c>
      <c r="R68" s="199">
        <f t="shared" si="46"/>
        <v>928.57125360124985</v>
      </c>
      <c r="S68" s="199">
        <f t="shared" si="47"/>
        <v>-928.57125360124985</v>
      </c>
      <c r="T68" s="200">
        <f t="shared" si="6"/>
        <v>-193.37880842208165</v>
      </c>
      <c r="U68" s="199">
        <f t="shared" si="61"/>
        <v>831.88184939020903</v>
      </c>
      <c r="V68" s="199">
        <f t="shared" si="48"/>
        <v>-831.88184939020903</v>
      </c>
    </row>
    <row r="69" spans="1:22" x14ac:dyDescent="0.2">
      <c r="A69" s="103"/>
      <c r="B69" s="10"/>
      <c r="C69" s="160"/>
      <c r="D69" s="161"/>
      <c r="E69" s="161"/>
      <c r="F69" s="153"/>
      <c r="G69" s="154"/>
      <c r="H69" s="161"/>
      <c r="I69" s="161"/>
      <c r="J69" s="154">
        <f>J68</f>
        <v>123.99532483546355</v>
      </c>
      <c r="K69" s="154">
        <f>K68</f>
        <v>9.307543857234851</v>
      </c>
      <c r="L69" s="154"/>
      <c r="M69" s="154">
        <f>((H67-H64)^2+(I67-I64)^2)^0.5</f>
        <v>3.608960774389999</v>
      </c>
      <c r="N69" s="154">
        <f>N66+M69</f>
        <v>197.47956079807989</v>
      </c>
      <c r="O69" s="154">
        <f t="shared" ref="O69" si="74">$O$14</f>
        <v>57.2</v>
      </c>
      <c r="P69" s="154">
        <v>2</v>
      </c>
      <c r="Q69" s="156">
        <f t="shared" ref="Q69" si="75">((C67-C68)^2+(D67-D68)^2)^0.5*O69*P69</f>
        <v>1696.1489965709616</v>
      </c>
      <c r="R69" s="199">
        <f t="shared" si="46"/>
        <v>848.07449828548079</v>
      </c>
      <c r="S69" s="199">
        <f t="shared" si="47"/>
        <v>-848.07449828548079</v>
      </c>
      <c r="T69" s="200">
        <f t="shared" si="6"/>
        <v>-7.8351916363317287E-4</v>
      </c>
      <c r="U69" s="199">
        <f t="shared" si="61"/>
        <v>848.07410652589897</v>
      </c>
      <c r="V69" s="199">
        <f t="shared" si="48"/>
        <v>-848.07410652589897</v>
      </c>
    </row>
    <row r="70" spans="1:22" x14ac:dyDescent="0.2">
      <c r="A70" s="103"/>
      <c r="B70" s="10"/>
      <c r="C70" s="143">
        <f>Panels!C77</f>
        <v>125.59897058372619</v>
      </c>
      <c r="D70" s="144">
        <f>Panels!D77</f>
        <v>16.863891954531258</v>
      </c>
      <c r="E70" s="145"/>
      <c r="F70" s="144">
        <f>IF('SPlanar TH'!$I$6="x",C70,0)</f>
        <v>125.59897058372619</v>
      </c>
      <c r="G70" s="144">
        <f>IF('SPlanar TH'!$I$6="x",D70,0)</f>
        <v>16.863891954531258</v>
      </c>
      <c r="H70" s="144">
        <f>SUM(C70:C71)/2</f>
        <v>125.89240684064309</v>
      </c>
      <c r="I70" s="144">
        <f>SUM(D70:D71)/2</f>
        <v>9.3819459772656284</v>
      </c>
      <c r="J70" s="144">
        <f>IF('SPlanar TH'!$I$5="x",H70,0)</f>
        <v>125.89240684064309</v>
      </c>
      <c r="K70" s="144">
        <f>IF('SPlanar TH'!$I$5="x",I70,0)</f>
        <v>9.3819459772656284</v>
      </c>
      <c r="L70" s="144"/>
      <c r="M70" s="144">
        <f>M69</f>
        <v>3.608960774389999</v>
      </c>
      <c r="N70" s="144">
        <f>N69</f>
        <v>197.47956079807989</v>
      </c>
      <c r="O70" s="144"/>
      <c r="P70" s="144"/>
      <c r="Q70" s="158">
        <f t="shared" ref="Q70:Q71" si="76">Q69</f>
        <v>1696.1489965709616</v>
      </c>
      <c r="R70" s="199">
        <f t="shared" si="46"/>
        <v>848.07449828548079</v>
      </c>
      <c r="S70" s="199">
        <f t="shared" si="47"/>
        <v>-848.07449828548079</v>
      </c>
      <c r="T70" s="200">
        <f t="shared" si="6"/>
        <v>-7.8351916363317287E-4</v>
      </c>
      <c r="U70" s="199">
        <f t="shared" si="61"/>
        <v>848.07410652589897</v>
      </c>
      <c r="V70" s="199">
        <f t="shared" si="48"/>
        <v>-848.07410652589897</v>
      </c>
    </row>
    <row r="71" spans="1:22" x14ac:dyDescent="0.2">
      <c r="A71" s="1">
        <f t="shared" si="2"/>
        <v>5</v>
      </c>
      <c r="B71" s="122">
        <f t="shared" ref="B71" si="77">B68+1</f>
        <v>19</v>
      </c>
      <c r="C71" s="147">
        <f>C70+(D70-D71)*W4</f>
        <v>126.18584309756</v>
      </c>
      <c r="D71" s="148">
        <f>D68</f>
        <v>1.9</v>
      </c>
      <c r="E71" s="149"/>
      <c r="F71" s="148">
        <f>IF('SPlanar TH'!$I$6="x",C71,0)</f>
        <v>126.18584309756</v>
      </c>
      <c r="G71" s="148">
        <f>IF('SPlanar TH'!$I$6="x",D71,0)</f>
        <v>1.9</v>
      </c>
      <c r="H71" s="165"/>
      <c r="I71" s="166"/>
      <c r="J71" s="148">
        <f>J70</f>
        <v>125.89240684064309</v>
      </c>
      <c r="K71" s="148">
        <f>K70</f>
        <v>9.3819459772656284</v>
      </c>
      <c r="L71" s="149"/>
      <c r="M71" s="148">
        <f>M70</f>
        <v>3.608960774389999</v>
      </c>
      <c r="N71" s="148">
        <f>N70</f>
        <v>197.47956079807989</v>
      </c>
      <c r="O71" s="148"/>
      <c r="P71" s="148"/>
      <c r="Q71" s="159">
        <f t="shared" si="76"/>
        <v>1696.1489965709616</v>
      </c>
      <c r="R71" s="199">
        <f t="shared" si="46"/>
        <v>848.07449828548079</v>
      </c>
      <c r="S71" s="199">
        <f t="shared" si="47"/>
        <v>-848.07449828548079</v>
      </c>
      <c r="T71" s="200">
        <f t="shared" si="6"/>
        <v>-7.8351916363317287E-4</v>
      </c>
      <c r="U71" s="199">
        <f t="shared" si="61"/>
        <v>848.07410652589897</v>
      </c>
      <c r="V71" s="199">
        <f t="shared" si="48"/>
        <v>-848.07410652589897</v>
      </c>
    </row>
    <row r="72" spans="1:22" x14ac:dyDescent="0.2">
      <c r="A72" s="103"/>
      <c r="B72" s="10"/>
      <c r="C72" s="160"/>
      <c r="D72" s="161"/>
      <c r="E72" s="161"/>
      <c r="F72" s="153"/>
      <c r="G72" s="154"/>
      <c r="H72" s="161"/>
      <c r="I72" s="161"/>
      <c r="J72" s="154">
        <f>J71</f>
        <v>125.89240684064309</v>
      </c>
      <c r="K72" s="154">
        <f>K71</f>
        <v>9.3819459772656284</v>
      </c>
      <c r="L72" s="154"/>
      <c r="M72" s="154">
        <f>((H70-H67)^2+(I70-I67)^2)^0.5</f>
        <v>1.8985404419819725</v>
      </c>
      <c r="N72" s="154">
        <f>N69+M72</f>
        <v>199.37810124006185</v>
      </c>
      <c r="O72" s="154">
        <f t="shared" ref="O72" si="78">$O$14</f>
        <v>57.2</v>
      </c>
      <c r="P72" s="154">
        <v>2</v>
      </c>
      <c r="Q72" s="156">
        <f t="shared" ref="Q72" si="79">((C70-C71)^2+(D70-D71)^2)^0.5*O72*P72</f>
        <v>1713.1852887165289</v>
      </c>
      <c r="R72" s="199">
        <f t="shared" si="46"/>
        <v>856.59264435826447</v>
      </c>
      <c r="S72" s="199">
        <f t="shared" si="47"/>
        <v>-856.59264435826447</v>
      </c>
      <c r="T72" s="200">
        <f t="shared" si="6"/>
        <v>-7.8353474850700877E-4</v>
      </c>
      <c r="U72" s="199">
        <f t="shared" si="61"/>
        <v>856.59225259089021</v>
      </c>
      <c r="V72" s="199">
        <f t="shared" si="48"/>
        <v>-856.59225259089021</v>
      </c>
    </row>
    <row r="73" spans="1:22" x14ac:dyDescent="0.2">
      <c r="A73" s="103"/>
      <c r="B73" s="10"/>
      <c r="C73" s="143">
        <f>C70</f>
        <v>125.59897058372619</v>
      </c>
      <c r="D73" s="144">
        <f>D70</f>
        <v>16.863891954531258</v>
      </c>
      <c r="E73" s="145"/>
      <c r="F73" s="144">
        <f>IF('SPlanar TH'!$I$6="x",C73,0)</f>
        <v>125.59897058372619</v>
      </c>
      <c r="G73" s="144">
        <f>IF('SPlanar TH'!$I$6="x",D73,0)</f>
        <v>16.863891954531258</v>
      </c>
      <c r="H73" s="144">
        <f>SUM(C73:C74)/2</f>
        <v>129.74594606625311</v>
      </c>
      <c r="I73" s="144">
        <f>SUM(D73:D74)/2</f>
        <v>9.3819459772656284</v>
      </c>
      <c r="J73" s="144">
        <f>IF('SPlanar TH'!$I$5="x",H73,0)</f>
        <v>129.74594606625311</v>
      </c>
      <c r="K73" s="144">
        <f>IF('SPlanar TH'!$I$5="x",I73,0)</f>
        <v>9.3819459772656284</v>
      </c>
      <c r="L73" s="144"/>
      <c r="M73" s="144">
        <f>M72</f>
        <v>1.8985404419819725</v>
      </c>
      <c r="N73" s="144">
        <f>N72</f>
        <v>199.37810124006185</v>
      </c>
      <c r="O73" s="144"/>
      <c r="P73" s="144"/>
      <c r="Q73" s="158">
        <f t="shared" ref="Q73:Q74" si="80">Q72</f>
        <v>1713.1852887165289</v>
      </c>
      <c r="R73" s="199">
        <f t="shared" si="46"/>
        <v>856.59264435826447</v>
      </c>
      <c r="S73" s="199">
        <f t="shared" si="47"/>
        <v>-856.59264435826447</v>
      </c>
      <c r="T73" s="200">
        <f t="shared" si="6"/>
        <v>-7.8353474850700877E-4</v>
      </c>
      <c r="U73" s="199">
        <f t="shared" si="61"/>
        <v>856.59225259089021</v>
      </c>
      <c r="V73" s="199">
        <f t="shared" si="48"/>
        <v>-856.59225259089021</v>
      </c>
    </row>
    <row r="74" spans="1:22" x14ac:dyDescent="0.2">
      <c r="A74" s="1">
        <f t="shared" si="2"/>
        <v>4</v>
      </c>
      <c r="B74" s="122">
        <f t="shared" ref="B74" si="81">B71+1</f>
        <v>20</v>
      </c>
      <c r="C74" s="147">
        <f>(C71+Panels!C10)/2</f>
        <v>133.89292154878001</v>
      </c>
      <c r="D74" s="148">
        <f>D71</f>
        <v>1.9</v>
      </c>
      <c r="E74" s="149"/>
      <c r="F74" s="148">
        <f>IF('SPlanar TH'!$I$6="x",C74,0)</f>
        <v>133.89292154878001</v>
      </c>
      <c r="G74" s="148">
        <f>IF('SPlanar TH'!$I$6="x",D74,0)</f>
        <v>1.9</v>
      </c>
      <c r="H74" s="165"/>
      <c r="I74" s="166"/>
      <c r="J74" s="148">
        <f>J73</f>
        <v>129.74594606625311</v>
      </c>
      <c r="K74" s="148">
        <f>K73</f>
        <v>9.3819459772656284</v>
      </c>
      <c r="L74" s="149"/>
      <c r="M74" s="148">
        <f>M73</f>
        <v>1.8985404419819725</v>
      </c>
      <c r="N74" s="148">
        <f>N73</f>
        <v>199.37810124006185</v>
      </c>
      <c r="O74" s="148"/>
      <c r="P74" s="148"/>
      <c r="Q74" s="159">
        <f t="shared" si="80"/>
        <v>1713.1852887165289</v>
      </c>
      <c r="R74" s="199">
        <f t="shared" si="46"/>
        <v>856.59264435826447</v>
      </c>
      <c r="S74" s="199">
        <f t="shared" si="47"/>
        <v>-856.59264435826447</v>
      </c>
      <c r="T74" s="200">
        <f t="shared" si="6"/>
        <v>-7.8353474850700877E-4</v>
      </c>
      <c r="U74" s="199">
        <f t="shared" si="61"/>
        <v>856.59225259089021</v>
      </c>
      <c r="V74" s="199">
        <f t="shared" si="48"/>
        <v>-856.59225259089021</v>
      </c>
    </row>
    <row r="75" spans="1:22" x14ac:dyDescent="0.2">
      <c r="A75" s="103"/>
      <c r="B75" s="10"/>
      <c r="C75" s="160"/>
      <c r="D75" s="161"/>
      <c r="E75" s="161"/>
      <c r="F75" s="153"/>
      <c r="G75" s="154"/>
      <c r="H75" s="161"/>
      <c r="I75" s="161"/>
      <c r="J75" s="154">
        <f>J74</f>
        <v>129.74594606625311</v>
      </c>
      <c r="K75" s="154">
        <f>K74</f>
        <v>9.3819459772656284</v>
      </c>
      <c r="L75" s="154"/>
      <c r="M75" s="154">
        <f>((H73-H70)^2+(I73-I70)^2)^0.5</f>
        <v>3.8535392256100209</v>
      </c>
      <c r="N75" s="154">
        <f>N72+M75</f>
        <v>203.23164046567189</v>
      </c>
      <c r="O75" s="154">
        <f t="shared" ref="O75" si="82">$O$14</f>
        <v>57.2</v>
      </c>
      <c r="P75" s="154">
        <v>2</v>
      </c>
      <c r="Q75" s="156">
        <f t="shared" ref="Q75" si="83">((C73-C74)^2+(D73-D74)^2)^0.5*O75*P75</f>
        <v>1957.2355118517848</v>
      </c>
      <c r="R75" s="199">
        <f t="shared" si="46"/>
        <v>978.61775592589242</v>
      </c>
      <c r="S75" s="199">
        <f t="shared" si="47"/>
        <v>-978.61775592589242</v>
      </c>
      <c r="T75" s="200">
        <f t="shared" si="6"/>
        <v>-209.4718012287417</v>
      </c>
      <c r="U75" s="199">
        <f t="shared" si="61"/>
        <v>873.88185531152158</v>
      </c>
      <c r="V75" s="199">
        <f t="shared" si="48"/>
        <v>-873.88185531152158</v>
      </c>
    </row>
    <row r="76" spans="1:22" x14ac:dyDescent="0.2">
      <c r="A76" s="103"/>
      <c r="B76" s="10"/>
      <c r="C76" s="147">
        <f>C73</f>
        <v>125.59897058372619</v>
      </c>
      <c r="D76" s="148">
        <f>D73</f>
        <v>16.863891954531258</v>
      </c>
      <c r="E76" s="149"/>
      <c r="F76" s="144">
        <f>IF('SPlanar TH'!$I$6="x",C76,0)</f>
        <v>125.59897058372619</v>
      </c>
      <c r="G76" s="144">
        <f>IF('SPlanar TH'!$I$6="x",D76,0)</f>
        <v>16.863891954531258</v>
      </c>
      <c r="H76" s="144">
        <f>SUM(C76:C77)/2</f>
        <v>133.59948529186309</v>
      </c>
      <c r="I76" s="144">
        <f>SUM(D76:D77)/2</f>
        <v>13.27980603087444</v>
      </c>
      <c r="J76" s="144">
        <f>IF('SPlanar TH'!$I$5="x",H76,0)</f>
        <v>133.59948529186309</v>
      </c>
      <c r="K76" s="144">
        <f>IF('SPlanar TH'!$I$5="x",I76,0)</f>
        <v>13.27980603087444</v>
      </c>
      <c r="L76" s="144"/>
      <c r="M76" s="144">
        <f>M75</f>
        <v>3.8535392256100209</v>
      </c>
      <c r="N76" s="144">
        <f>N75</f>
        <v>203.23164046567189</v>
      </c>
      <c r="O76" s="144"/>
      <c r="P76" s="144"/>
      <c r="Q76" s="158">
        <f t="shared" ref="Q76:Q77" si="84">Q75</f>
        <v>1957.2355118517848</v>
      </c>
      <c r="R76" s="199">
        <f t="shared" si="46"/>
        <v>978.61775592589242</v>
      </c>
      <c r="S76" s="199">
        <f t="shared" si="47"/>
        <v>-978.61775592589242</v>
      </c>
      <c r="T76" s="200">
        <f t="shared" si="6"/>
        <v>-209.4718012287417</v>
      </c>
      <c r="U76" s="199">
        <f t="shared" si="61"/>
        <v>873.88185531152158</v>
      </c>
      <c r="V76" s="199">
        <f t="shared" si="48"/>
        <v>-873.88185531152158</v>
      </c>
    </row>
    <row r="77" spans="1:22" x14ac:dyDescent="0.2">
      <c r="A77" s="1">
        <f t="shared" ref="A77" si="85">A80+1</f>
        <v>3</v>
      </c>
      <c r="B77" s="122">
        <f t="shared" ref="B77" si="86">B74+1</f>
        <v>21</v>
      </c>
      <c r="C77" s="147">
        <f>C80</f>
        <v>141.6</v>
      </c>
      <c r="D77" s="148">
        <f>(D74+D80)/2</f>
        <v>9.6957201072176211</v>
      </c>
      <c r="E77" s="149"/>
      <c r="F77" s="148">
        <f>IF('SPlanar TH'!$I$6="x",C77,0)</f>
        <v>141.6</v>
      </c>
      <c r="G77" s="148">
        <f>IF('SPlanar TH'!$I$6="x",D77,0)</f>
        <v>9.6957201072176211</v>
      </c>
      <c r="H77" s="165"/>
      <c r="I77" s="166"/>
      <c r="J77" s="148">
        <f>J76</f>
        <v>133.59948529186309</v>
      </c>
      <c r="K77" s="148">
        <f>K76</f>
        <v>13.27980603087444</v>
      </c>
      <c r="L77" s="149"/>
      <c r="M77" s="148">
        <f>M76</f>
        <v>3.8535392256100209</v>
      </c>
      <c r="N77" s="148">
        <f>N76</f>
        <v>203.23164046567189</v>
      </c>
      <c r="O77" s="148"/>
      <c r="P77" s="148"/>
      <c r="Q77" s="159">
        <f t="shared" si="84"/>
        <v>1957.2355118517848</v>
      </c>
      <c r="R77" s="199">
        <f t="shared" si="46"/>
        <v>978.61775592589242</v>
      </c>
      <c r="S77" s="199">
        <f t="shared" si="47"/>
        <v>-978.61775592589242</v>
      </c>
      <c r="T77" s="200">
        <f t="shared" si="6"/>
        <v>-209.4718012287417</v>
      </c>
      <c r="U77" s="199">
        <f t="shared" si="61"/>
        <v>873.88185531152158</v>
      </c>
      <c r="V77" s="199">
        <f t="shared" si="48"/>
        <v>-873.88185531152158</v>
      </c>
    </row>
    <row r="78" spans="1:22" x14ac:dyDescent="0.2">
      <c r="A78" s="103"/>
      <c r="B78" s="10"/>
      <c r="C78" s="160"/>
      <c r="D78" s="161"/>
      <c r="E78" s="161"/>
      <c r="F78" s="153"/>
      <c r="G78" s="154"/>
      <c r="H78" s="149"/>
      <c r="I78" s="149"/>
      <c r="J78" s="154">
        <f>J77</f>
        <v>133.59948529186309</v>
      </c>
      <c r="K78" s="154">
        <f>K77</f>
        <v>13.27980603087444</v>
      </c>
      <c r="L78" s="149"/>
      <c r="M78" s="154">
        <f>((H76-H73)^2+(I76-I73)^2)^0.5</f>
        <v>5.4811565897020342</v>
      </c>
      <c r="N78" s="154">
        <f>N75+M78</f>
        <v>208.71279705537393</v>
      </c>
      <c r="O78" s="154">
        <f t="shared" ref="O78" si="87">$O$14</f>
        <v>57.2</v>
      </c>
      <c r="P78" s="154">
        <v>2</v>
      </c>
      <c r="Q78" s="156">
        <f t="shared" ref="Q78" si="88">((C76-C77)^2+(D76-D77)^2)^0.5*O78*P78</f>
        <v>2005.8063265450078</v>
      </c>
      <c r="R78" s="199">
        <f t="shared" si="46"/>
        <v>1002.9031632725039</v>
      </c>
      <c r="S78" s="199">
        <f t="shared" si="47"/>
        <v>-1002.9031632725039</v>
      </c>
      <c r="T78" s="200">
        <f t="shared" si="6"/>
        <v>-208.8582094128983</v>
      </c>
      <c r="U78" s="199">
        <f t="shared" si="61"/>
        <v>898.47405856605474</v>
      </c>
      <c r="V78" s="199">
        <f t="shared" si="48"/>
        <v>-898.47405856605474</v>
      </c>
    </row>
    <row r="79" spans="1:22" x14ac:dyDescent="0.2">
      <c r="A79" s="103"/>
      <c r="B79" s="10"/>
      <c r="C79" s="143">
        <f>C76</f>
        <v>125.59897058372619</v>
      </c>
      <c r="D79" s="144">
        <f>D76</f>
        <v>16.863891954531258</v>
      </c>
      <c r="E79" s="145"/>
      <c r="F79" s="144">
        <f>IF('SPlanar TH'!$I$6="x",C79,0)</f>
        <v>125.59897058372619</v>
      </c>
      <c r="G79" s="144">
        <f>IF('SPlanar TH'!$I$6="x",D79,0)</f>
        <v>16.863891954531258</v>
      </c>
      <c r="H79" s="144">
        <f>SUM(C79:C80)/2</f>
        <v>133.59948529186309</v>
      </c>
      <c r="I79" s="144">
        <f>SUM(D79:D80)/2</f>
        <v>17.177666084483249</v>
      </c>
      <c r="J79" s="144">
        <f>IF('SPlanar TH'!$I$5="x",H79,0)</f>
        <v>133.59948529186309</v>
      </c>
      <c r="K79" s="144">
        <f>IF('SPlanar TH'!$I$5="x",I79,0)</f>
        <v>17.177666084483249</v>
      </c>
      <c r="L79" s="145"/>
      <c r="M79" s="144">
        <f>M78</f>
        <v>5.4811565897020342</v>
      </c>
      <c r="N79" s="144">
        <f>N78</f>
        <v>208.71279705537393</v>
      </c>
      <c r="O79" s="144"/>
      <c r="P79" s="144"/>
      <c r="Q79" s="158">
        <f t="shared" ref="Q79:Q80" si="89">Q78</f>
        <v>2005.8063265450078</v>
      </c>
      <c r="R79" s="199">
        <f t="shared" si="46"/>
        <v>1002.9031632725039</v>
      </c>
      <c r="S79" s="199">
        <f t="shared" si="47"/>
        <v>-1002.9031632725039</v>
      </c>
      <c r="T79" s="200">
        <f t="shared" si="6"/>
        <v>-208.8582094128983</v>
      </c>
      <c r="U79" s="199">
        <f t="shared" si="61"/>
        <v>898.47405856605474</v>
      </c>
      <c r="V79" s="199">
        <f t="shared" si="48"/>
        <v>-898.47405856605474</v>
      </c>
    </row>
    <row r="80" spans="1:22" x14ac:dyDescent="0.2">
      <c r="A80" s="1">
        <f t="shared" ref="A80" si="90">A83+1</f>
        <v>2</v>
      </c>
      <c r="B80" s="122">
        <f t="shared" ref="B80" si="91">B77+1</f>
        <v>22</v>
      </c>
      <c r="C80" s="147">
        <f>Panels!C10</f>
        <v>141.6</v>
      </c>
      <c r="D80" s="148">
        <f>D79+(C80-C79)*W4</f>
        <v>17.491440214435244</v>
      </c>
      <c r="E80" s="149"/>
      <c r="F80" s="148">
        <f>IF('SPlanar TH'!$I$6="x",C80,0)</f>
        <v>141.6</v>
      </c>
      <c r="G80" s="148">
        <f>IF('SPlanar TH'!$I$6="x",D80,0)</f>
        <v>17.491440214435244</v>
      </c>
      <c r="H80" s="149"/>
      <c r="I80" s="149"/>
      <c r="J80" s="148">
        <f>J79</f>
        <v>133.59948529186309</v>
      </c>
      <c r="K80" s="148">
        <f>K79</f>
        <v>17.177666084483249</v>
      </c>
      <c r="L80" s="149"/>
      <c r="M80" s="148">
        <f>M79</f>
        <v>5.4811565897020342</v>
      </c>
      <c r="N80" s="148">
        <f>N79</f>
        <v>208.71279705537393</v>
      </c>
      <c r="O80" s="148"/>
      <c r="P80" s="148"/>
      <c r="Q80" s="159">
        <f t="shared" si="89"/>
        <v>2005.8063265450078</v>
      </c>
      <c r="R80" s="199">
        <f t="shared" si="46"/>
        <v>1002.9031632725039</v>
      </c>
      <c r="S80" s="199">
        <f t="shared" si="47"/>
        <v>-1002.9031632725039</v>
      </c>
      <c r="T80" s="200">
        <f t="shared" si="6"/>
        <v>-208.8582094128983</v>
      </c>
      <c r="U80" s="199">
        <f t="shared" si="61"/>
        <v>898.47405856605474</v>
      </c>
      <c r="V80" s="199">
        <f t="shared" si="48"/>
        <v>-898.47405856605474</v>
      </c>
    </row>
    <row r="81" spans="1:33" x14ac:dyDescent="0.2">
      <c r="A81" s="103"/>
      <c r="B81" s="10"/>
      <c r="C81" s="160"/>
      <c r="D81" s="161"/>
      <c r="E81" s="161"/>
      <c r="F81" s="153"/>
      <c r="G81" s="154"/>
      <c r="H81" s="161"/>
      <c r="I81" s="161"/>
      <c r="J81" s="154">
        <f>J80</f>
        <v>133.59948529186309</v>
      </c>
      <c r="K81" s="154">
        <f>K80</f>
        <v>17.177666084483249</v>
      </c>
      <c r="L81" s="161"/>
      <c r="M81" s="154">
        <f>((H79-H76)^2+(I79-I76)^2)^0.5</f>
        <v>3.8978600536088095</v>
      </c>
      <c r="N81" s="154">
        <f>N78+M81</f>
        <v>212.61065710898274</v>
      </c>
      <c r="O81" s="154">
        <f t="shared" ref="O81" si="92">$O$14</f>
        <v>57.2</v>
      </c>
      <c r="P81" s="154">
        <v>2</v>
      </c>
      <c r="Q81" s="156">
        <f t="shared" ref="Q81" si="93">((C79-C80)^2+(D79-D80)^2)^0.5*O81*P81</f>
        <v>1831.9250288344799</v>
      </c>
      <c r="R81" s="199">
        <f t="shared" si="46"/>
        <v>915.96251441723996</v>
      </c>
      <c r="S81" s="199">
        <f t="shared" si="47"/>
        <v>-915.96251441723996</v>
      </c>
      <c r="T81" s="200">
        <f t="shared" si="6"/>
        <v>6.0703837334585842E-7</v>
      </c>
      <c r="U81" s="199">
        <f t="shared" si="61"/>
        <v>915.96251472075915</v>
      </c>
      <c r="V81" s="199">
        <f t="shared" si="48"/>
        <v>-915.96251472075915</v>
      </c>
    </row>
    <row r="82" spans="1:33" x14ac:dyDescent="0.2">
      <c r="A82" s="103"/>
      <c r="B82" s="10"/>
      <c r="C82" s="143">
        <f>Panels!C13</f>
        <v>141.6</v>
      </c>
      <c r="D82" s="144">
        <f>Panels!D9</f>
        <v>91.5</v>
      </c>
      <c r="E82" s="171" t="s">
        <v>73</v>
      </c>
      <c r="F82" s="144">
        <f>IF('SPlanar TH'!$I$6="x",C82,0)</f>
        <v>141.6</v>
      </c>
      <c r="G82" s="144">
        <f>IF('SPlanar TH'!$I$6="x",D82,0)</f>
        <v>91.5</v>
      </c>
      <c r="H82" s="144">
        <f>SUM(C82:C83)/2</f>
        <v>130.70138331898386</v>
      </c>
      <c r="I82" s="144">
        <f>SUM(D82:D83)/2</f>
        <v>91.072564504720162</v>
      </c>
      <c r="J82" s="144">
        <f>IF('SPlanar TH'!$I$5="x",H82,0)</f>
        <v>130.70138331898386</v>
      </c>
      <c r="K82" s="144">
        <f>IF('SPlanar TH'!$I$5="x",I82,0)</f>
        <v>91.072564504720162</v>
      </c>
      <c r="L82" s="145"/>
      <c r="M82" s="144">
        <f>M81</f>
        <v>3.8978600536088095</v>
      </c>
      <c r="N82" s="144">
        <f>N81</f>
        <v>212.61065710898274</v>
      </c>
      <c r="O82" s="144"/>
      <c r="P82" s="144"/>
      <c r="Q82" s="158">
        <f t="shared" ref="Q82:Q83" si="94">Q81</f>
        <v>1831.9250288344799</v>
      </c>
      <c r="R82" s="199">
        <f t="shared" ref="R82:R84" si="95">Q82/2</f>
        <v>915.96251441723996</v>
      </c>
      <c r="S82" s="199">
        <f t="shared" ref="S82:S84" si="96">-R82</f>
        <v>-915.96251441723996</v>
      </c>
      <c r="T82" s="200">
        <f t="shared" si="6"/>
        <v>6.0703837334585842E-7</v>
      </c>
      <c r="U82" s="199">
        <f t="shared" si="61"/>
        <v>915.96251472075915</v>
      </c>
      <c r="V82" s="199">
        <f t="shared" ref="V82:V84" si="97">-U82</f>
        <v>-915.96251472075915</v>
      </c>
      <c r="Y82" s="196"/>
      <c r="Z82" s="197">
        <f>Panels!C9</f>
        <v>141.6</v>
      </c>
      <c r="AA82" s="197">
        <f>Panels!D9</f>
        <v>91.5</v>
      </c>
      <c r="AB82" s="197">
        <f>Z82-100*U4</f>
        <v>41.676818843053383</v>
      </c>
      <c r="AC82" s="197">
        <f>AA82-100*V4</f>
        <v>87.581088483261155</v>
      </c>
      <c r="AD82" s="198">
        <f>(AC82-AA82)/(AB82-Z82)</f>
        <v>3.9219242936066233E-2</v>
      </c>
      <c r="AE82" s="198">
        <f>(AC82*Z82-AA82*AB82)/(Z82-AB82)</f>
        <v>85.946555200253002</v>
      </c>
    </row>
    <row r="83" spans="1:33" x14ac:dyDescent="0.2">
      <c r="A83" s="1">
        <f t="shared" ref="A83" si="98">A86+1</f>
        <v>1</v>
      </c>
      <c r="B83" s="122">
        <f t="shared" ref="B83" si="99">B80+1</f>
        <v>23</v>
      </c>
      <c r="C83" s="147">
        <f>AF83</f>
        <v>119.80276663796774</v>
      </c>
      <c r="D83" s="148">
        <f>AG83</f>
        <v>90.645129009440325</v>
      </c>
      <c r="E83" s="149"/>
      <c r="F83" s="148">
        <f>IF('SPlanar TH'!$I$6="x",C83,0)</f>
        <v>119.80276663796774</v>
      </c>
      <c r="G83" s="148">
        <f>IF('SPlanar TH'!$I$6="x",D83,0)</f>
        <v>90.645129009440325</v>
      </c>
      <c r="H83" s="165"/>
      <c r="I83" s="166"/>
      <c r="J83" s="148">
        <f>J82</f>
        <v>130.70138331898386</v>
      </c>
      <c r="K83" s="148">
        <f>K82</f>
        <v>91.072564504720162</v>
      </c>
      <c r="L83" s="149"/>
      <c r="M83" s="148">
        <f>M82</f>
        <v>3.8978600536088095</v>
      </c>
      <c r="N83" s="148">
        <f>N82</f>
        <v>212.61065710898274</v>
      </c>
      <c r="O83" s="148"/>
      <c r="P83" s="148"/>
      <c r="Q83" s="159">
        <f t="shared" si="94"/>
        <v>1831.9250288344799</v>
      </c>
      <c r="R83" s="199">
        <f t="shared" si="95"/>
        <v>915.96251441723996</v>
      </c>
      <c r="S83" s="199">
        <f t="shared" si="96"/>
        <v>-915.96251441723996</v>
      </c>
      <c r="T83" s="200">
        <f t="shared" ref="T83:T84" si="100">(U83-R83)*2</f>
        <v>6.0703837334585842E-7</v>
      </c>
      <c r="U83" s="199">
        <f t="shared" si="61"/>
        <v>915.96251472075915</v>
      </c>
      <c r="V83" s="199">
        <f t="shared" si="97"/>
        <v>-915.96251472075915</v>
      </c>
      <c r="Y83" s="196"/>
      <c r="Z83" s="197">
        <f>Panels!C77</f>
        <v>125.59897058372619</v>
      </c>
      <c r="AA83" s="197">
        <f>Panels!D77</f>
        <v>16.863891954531258</v>
      </c>
      <c r="AB83" s="197">
        <f>Panels!C78</f>
        <v>119.72391859252691</v>
      </c>
      <c r="AC83" s="197">
        <f>Panels!D78</f>
        <v>91.648804240061551</v>
      </c>
      <c r="AD83" s="198">
        <f>IF(AB83&lt;&gt;Z83,(AC83-AA83)/(AB83-Z83),"")</f>
        <v>-12.729234123809769</v>
      </c>
      <c r="AE83" s="198">
        <f>IF(AD83&lt;&gt;"",(AC83*Z83-AA83*AB83)/(Z83-AB83),Z83)</f>
        <v>1615.6425942242779</v>
      </c>
      <c r="AF83" s="197">
        <f>IF(AD83&lt;&gt;"",(AE82-AE83)/(AD83-AD82),Z83)</f>
        <v>119.80276663796774</v>
      </c>
      <c r="AG83" s="197">
        <f>IF(AD83&lt;&gt;"",AF83*AD83+AE83,AF83*AD82+AE82)</f>
        <v>90.645129009440325</v>
      </c>
    </row>
    <row r="84" spans="1:33" x14ac:dyDescent="0.2">
      <c r="A84" s="103"/>
      <c r="B84" s="10"/>
      <c r="C84" s="147"/>
      <c r="D84" s="148"/>
      <c r="E84" s="149"/>
      <c r="F84" s="153"/>
      <c r="G84" s="154"/>
      <c r="H84" s="165"/>
      <c r="I84" s="166"/>
      <c r="J84" s="154">
        <f>J83</f>
        <v>130.70138331898386</v>
      </c>
      <c r="K84" s="154">
        <f>K83</f>
        <v>91.072564504720162</v>
      </c>
      <c r="L84" s="149"/>
      <c r="M84" s="154">
        <f>((H82-H79)^2+(I82-I79)^2)^0.5</f>
        <v>73.951707266177024</v>
      </c>
      <c r="N84" s="148">
        <f>N81+M84</f>
        <v>286.56236437515975</v>
      </c>
      <c r="O84" s="154">
        <f t="shared" ref="O84" si="101">$O$14</f>
        <v>57.2</v>
      </c>
      <c r="P84" s="154">
        <v>2</v>
      </c>
      <c r="Q84" s="156">
        <f t="shared" ref="Q84" si="102">((C82-C83)^2+(D82-D83)^2)^0.5*O84*P84</f>
        <v>2495.5205266131943</v>
      </c>
      <c r="R84" s="199">
        <f t="shared" si="95"/>
        <v>1247.7602633065972</v>
      </c>
      <c r="S84" s="199">
        <f t="shared" si="96"/>
        <v>-1247.7602633065972</v>
      </c>
      <c r="T84" s="200">
        <f t="shared" si="100"/>
        <v>0</v>
      </c>
      <c r="U84" s="199">
        <f t="shared" si="61"/>
        <v>1247.7602633065972</v>
      </c>
      <c r="V84" s="199">
        <f t="shared" si="97"/>
        <v>-1247.7602633065972</v>
      </c>
    </row>
    <row r="85" spans="1:33" x14ac:dyDescent="0.2">
      <c r="A85" s="103"/>
      <c r="B85" s="10"/>
      <c r="C85" s="143"/>
      <c r="D85" s="144"/>
      <c r="E85" s="145"/>
      <c r="F85" s="144"/>
      <c r="G85" s="144"/>
      <c r="H85" s="144"/>
      <c r="I85" s="144"/>
      <c r="J85" s="144"/>
      <c r="K85" s="144"/>
      <c r="L85" s="145"/>
      <c r="M85" s="144"/>
      <c r="N85" s="144"/>
      <c r="O85" s="144"/>
      <c r="P85" s="144"/>
      <c r="Q85" s="158"/>
    </row>
    <row r="86" spans="1:33" x14ac:dyDescent="0.2">
      <c r="A86" s="1"/>
      <c r="B86" s="122"/>
      <c r="C86" s="147"/>
      <c r="D86" s="148"/>
      <c r="E86" s="149"/>
      <c r="F86" s="148"/>
      <c r="G86" s="148"/>
      <c r="H86" s="165"/>
      <c r="I86" s="166"/>
      <c r="J86" s="148"/>
      <c r="K86" s="148"/>
      <c r="L86" s="149"/>
      <c r="M86" s="148"/>
      <c r="N86" s="148"/>
      <c r="O86" s="148"/>
      <c r="P86" s="148"/>
      <c r="Q86" s="159"/>
    </row>
    <row r="87" spans="1:33" x14ac:dyDescent="0.2">
      <c r="A87" s="103"/>
      <c r="B87" s="10"/>
      <c r="C87" s="160"/>
      <c r="D87" s="161"/>
      <c r="E87" s="161"/>
      <c r="F87" s="153"/>
      <c r="G87" s="154"/>
      <c r="H87" s="161"/>
      <c r="I87" s="161"/>
      <c r="J87" s="154"/>
      <c r="K87" s="154"/>
      <c r="L87" s="161"/>
      <c r="M87" s="154"/>
      <c r="N87" s="148"/>
      <c r="O87" s="154"/>
      <c r="P87" s="154"/>
      <c r="Q87" s="156"/>
    </row>
    <row r="88" spans="1:33" x14ac:dyDescent="0.2">
      <c r="A88" s="103"/>
      <c r="B88" s="10"/>
      <c r="C88" s="147">
        <f>Panels!C90</f>
        <v>46.250000000000007</v>
      </c>
      <c r="D88" s="148">
        <f>Panels!D90</f>
        <v>12.600000000000001</v>
      </c>
      <c r="E88" s="171" t="s">
        <v>20</v>
      </c>
      <c r="F88" s="144">
        <f>IF('SPlanar TH'!$I$6="x",C88,0)</f>
        <v>46.250000000000007</v>
      </c>
      <c r="G88" s="144">
        <f>IF('SPlanar TH'!$I$6="x",D88,0)</f>
        <v>12.600000000000001</v>
      </c>
      <c r="H88" s="144">
        <f>SUM(C88:C89)/2</f>
        <v>71.75</v>
      </c>
      <c r="I88" s="144">
        <f>SUM(D88:D89)/2</f>
        <v>12.600000000000001</v>
      </c>
      <c r="J88" s="144">
        <f>IF('SPlanar TH'!$I$5="x",H88,0)</f>
        <v>71.75</v>
      </c>
      <c r="K88" s="144">
        <f>IF('SPlanar TH'!$I$5="x",I88,0)</f>
        <v>12.600000000000001</v>
      </c>
      <c r="L88" s="145"/>
      <c r="M88" s="144"/>
      <c r="N88" s="144"/>
      <c r="O88" s="144"/>
      <c r="P88" s="144"/>
      <c r="Q88" s="158">
        <f t="shared" ref="Q88:Q89" si="103">Q87</f>
        <v>0</v>
      </c>
    </row>
    <row r="89" spans="1:33" x14ac:dyDescent="0.2">
      <c r="A89" s="1">
        <f t="shared" ref="A89:A92" si="104">A92+1</f>
        <v>2</v>
      </c>
      <c r="B89" s="122">
        <f t="shared" ref="B89" si="105">B86+1</f>
        <v>1</v>
      </c>
      <c r="C89" s="147">
        <f>Panels!C84</f>
        <v>97.25</v>
      </c>
      <c r="D89" s="148">
        <f>Panels!D84</f>
        <v>12.600000000000001</v>
      </c>
      <c r="E89" s="149"/>
      <c r="F89" s="148">
        <f>IF('SPlanar TH'!$I$6="x",C89,0)</f>
        <v>97.25</v>
      </c>
      <c r="G89" s="148">
        <f>IF('SPlanar TH'!$I$6="x",D89,0)</f>
        <v>12.600000000000001</v>
      </c>
      <c r="H89" s="165"/>
      <c r="I89" s="166"/>
      <c r="J89" s="148">
        <f>J88</f>
        <v>71.75</v>
      </c>
      <c r="K89" s="148">
        <f>K88</f>
        <v>12.600000000000001</v>
      </c>
      <c r="L89" s="149"/>
      <c r="M89" s="148"/>
      <c r="N89" s="148"/>
      <c r="O89" s="148"/>
      <c r="P89" s="148"/>
      <c r="Q89" s="159">
        <f t="shared" si="103"/>
        <v>0</v>
      </c>
    </row>
    <row r="90" spans="1:33" x14ac:dyDescent="0.2">
      <c r="A90" s="103"/>
      <c r="B90" s="10"/>
      <c r="C90" s="160"/>
      <c r="D90" s="161"/>
      <c r="E90" s="161"/>
      <c r="F90" s="153"/>
      <c r="G90" s="154"/>
      <c r="H90" s="165"/>
      <c r="I90" s="166"/>
      <c r="J90" s="154">
        <f>J89</f>
        <v>71.75</v>
      </c>
      <c r="K90" s="154">
        <f>K89</f>
        <v>12.600000000000001</v>
      </c>
      <c r="L90" s="149"/>
      <c r="M90" s="154">
        <v>0</v>
      </c>
      <c r="N90" s="148">
        <f>N87+M90</f>
        <v>0</v>
      </c>
      <c r="O90" s="154">
        <f t="shared" ref="O90" si="106">$O$14</f>
        <v>57.2</v>
      </c>
      <c r="P90" s="154">
        <v>1</v>
      </c>
      <c r="Q90" s="156">
        <f t="shared" ref="Q90" si="107">((C88-C89)^2+(D88-D89)^2)^0.5*O90*P90</f>
        <v>2917.2</v>
      </c>
    </row>
    <row r="91" spans="1:33" x14ac:dyDescent="0.2">
      <c r="A91" s="1"/>
      <c r="B91" s="10"/>
      <c r="C91" s="147">
        <f>Panels!C45</f>
        <v>46.250000000000007</v>
      </c>
      <c r="D91" s="148">
        <f>Panels!D45</f>
        <v>91.5</v>
      </c>
      <c r="E91" s="171" t="s">
        <v>75</v>
      </c>
      <c r="F91" s="144">
        <f>IF('SPlanar TH'!$I$6="x",C91,0)</f>
        <v>46.250000000000007</v>
      </c>
      <c r="G91" s="144">
        <f>IF('SPlanar TH'!$I$6="x",D91,0)</f>
        <v>91.5</v>
      </c>
      <c r="H91" s="144">
        <f>SUM(C91:C92)/2</f>
        <v>71.75</v>
      </c>
      <c r="I91" s="144">
        <f>SUM(D91:D92)/2</f>
        <v>91.5</v>
      </c>
      <c r="J91" s="144">
        <f>IF('SPlanar TH'!$I$5="x",H91,0)</f>
        <v>71.75</v>
      </c>
      <c r="K91" s="144">
        <f>IF('SPlanar TH'!$I$5="x",I91,0)</f>
        <v>91.5</v>
      </c>
      <c r="L91" s="145"/>
      <c r="M91" s="144">
        <f>M90</f>
        <v>0</v>
      </c>
      <c r="N91" s="144">
        <f>N90</f>
        <v>0</v>
      </c>
      <c r="O91" s="144"/>
      <c r="P91" s="144"/>
      <c r="Q91" s="158">
        <f t="shared" ref="Q91:Q92" si="108">Q90</f>
        <v>2917.2</v>
      </c>
    </row>
    <row r="92" spans="1:33" x14ac:dyDescent="0.2">
      <c r="A92" s="1">
        <f t="shared" si="104"/>
        <v>1</v>
      </c>
      <c r="B92" s="122">
        <f t="shared" ref="B92" si="109">B89+1</f>
        <v>2</v>
      </c>
      <c r="C92" s="147">
        <f>Panels!C39</f>
        <v>97.25</v>
      </c>
      <c r="D92" s="148">
        <f>Panels!D39</f>
        <v>91.5</v>
      </c>
      <c r="E92" s="149"/>
      <c r="F92" s="148">
        <f>IF('SPlanar TH'!$I$6="x",C92,0)</f>
        <v>97.25</v>
      </c>
      <c r="G92" s="148">
        <f>IF('SPlanar TH'!$I$6="x",D92,0)</f>
        <v>91.5</v>
      </c>
      <c r="H92" s="165"/>
      <c r="I92" s="166"/>
      <c r="J92" s="148">
        <f>J91</f>
        <v>71.75</v>
      </c>
      <c r="K92" s="148">
        <f>K91</f>
        <v>91.5</v>
      </c>
      <c r="L92" s="149"/>
      <c r="M92" s="148">
        <f>M91</f>
        <v>0</v>
      </c>
      <c r="N92" s="148">
        <f>N91</f>
        <v>0</v>
      </c>
      <c r="O92" s="148"/>
      <c r="P92" s="148"/>
      <c r="Q92" s="159">
        <f t="shared" si="108"/>
        <v>2917.2</v>
      </c>
    </row>
    <row r="93" spans="1:33" x14ac:dyDescent="0.2">
      <c r="A93" s="103"/>
      <c r="B93" s="10"/>
      <c r="C93" s="160"/>
      <c r="D93" s="161"/>
      <c r="E93" s="161"/>
      <c r="F93" s="153"/>
      <c r="G93" s="154"/>
      <c r="H93" s="165"/>
      <c r="I93" s="166"/>
      <c r="J93" s="154">
        <f>J92</f>
        <v>71.75</v>
      </c>
      <c r="K93" s="154">
        <f>K92</f>
        <v>91.5</v>
      </c>
      <c r="L93" s="149"/>
      <c r="M93" s="154">
        <f>((H91-H88)^2+(I91-I88)^2)^0.5</f>
        <v>78.900000000000006</v>
      </c>
      <c r="N93" s="148">
        <f>N90+M93</f>
        <v>78.900000000000006</v>
      </c>
      <c r="O93" s="154">
        <f t="shared" ref="O93" si="110">$O$14</f>
        <v>57.2</v>
      </c>
      <c r="P93" s="154">
        <v>1</v>
      </c>
      <c r="Q93" s="156">
        <f t="shared" ref="Q93" si="111">((C91-C92)^2+(D91-D92)^2)^0.5*O93*P93</f>
        <v>2917.2</v>
      </c>
    </row>
    <row r="94" spans="1:33" x14ac:dyDescent="0.2">
      <c r="A94" s="103"/>
      <c r="B94" s="10"/>
      <c r="C94" s="147"/>
      <c r="D94" s="148"/>
      <c r="E94" s="149"/>
      <c r="F94" s="144"/>
      <c r="G94" s="144"/>
      <c r="H94" s="144"/>
      <c r="I94" s="144"/>
      <c r="J94" s="144"/>
      <c r="K94" s="144"/>
      <c r="L94" s="145"/>
      <c r="M94" s="144"/>
      <c r="N94" s="144"/>
      <c r="O94" s="144"/>
      <c r="P94" s="144"/>
      <c r="Q94" s="158"/>
    </row>
    <row r="95" spans="1:33" x14ac:dyDescent="0.2">
      <c r="A95" s="1"/>
      <c r="B95" s="122"/>
      <c r="C95" s="147"/>
      <c r="D95" s="148"/>
      <c r="E95" s="149"/>
      <c r="F95" s="148"/>
      <c r="G95" s="148"/>
      <c r="H95" s="165"/>
      <c r="I95" s="166"/>
      <c r="J95" s="148"/>
      <c r="K95" s="148"/>
      <c r="L95" s="149"/>
      <c r="M95" s="148"/>
      <c r="N95" s="148"/>
      <c r="O95" s="148"/>
      <c r="P95" s="148"/>
      <c r="Q95" s="159"/>
    </row>
    <row r="96" spans="1:33" x14ac:dyDescent="0.2">
      <c r="A96" s="103"/>
      <c r="B96" s="10"/>
      <c r="C96" s="160"/>
      <c r="D96" s="161"/>
      <c r="E96" s="161"/>
      <c r="F96" s="153"/>
      <c r="G96" s="154"/>
      <c r="H96" s="161"/>
      <c r="I96" s="161"/>
      <c r="J96" s="154"/>
      <c r="K96" s="154"/>
      <c r="L96" s="161"/>
      <c r="M96" s="154"/>
      <c r="N96" s="154"/>
      <c r="O96" s="154"/>
      <c r="P96" s="154"/>
      <c r="Q96" s="156"/>
    </row>
    <row r="97" spans="1:17" x14ac:dyDescent="0.2">
      <c r="A97" s="103"/>
      <c r="B97" s="10"/>
      <c r="C97" s="147"/>
      <c r="D97" s="148"/>
      <c r="E97" s="149"/>
      <c r="F97" s="144"/>
      <c r="G97" s="144"/>
      <c r="H97" s="148"/>
      <c r="I97" s="148"/>
      <c r="J97" s="144"/>
      <c r="K97" s="144"/>
      <c r="L97" s="149"/>
      <c r="M97" s="148"/>
      <c r="N97" s="148"/>
      <c r="O97" s="144"/>
      <c r="P97" s="144"/>
      <c r="Q97" s="158"/>
    </row>
    <row r="98" spans="1:17" x14ac:dyDescent="0.2">
      <c r="A98" s="1"/>
      <c r="B98" s="122"/>
      <c r="C98" s="147"/>
      <c r="D98" s="148"/>
      <c r="E98" s="149"/>
      <c r="F98" s="148"/>
      <c r="G98" s="148"/>
      <c r="H98" s="165"/>
      <c r="I98" s="166"/>
      <c r="J98" s="148"/>
      <c r="K98" s="148"/>
      <c r="L98" s="149"/>
      <c r="M98" s="148"/>
      <c r="N98" s="148"/>
      <c r="O98" s="148"/>
      <c r="P98" s="148"/>
      <c r="Q98" s="159"/>
    </row>
    <row r="99" spans="1:17" x14ac:dyDescent="0.2">
      <c r="A99" s="103"/>
      <c r="B99" s="10"/>
      <c r="C99" s="164"/>
      <c r="D99" s="149"/>
      <c r="E99" s="149"/>
      <c r="F99" s="153"/>
      <c r="G99" s="154"/>
      <c r="H99" s="149"/>
      <c r="I99" s="149"/>
      <c r="J99" s="154"/>
      <c r="K99" s="154"/>
      <c r="L99" s="149"/>
      <c r="M99" s="148"/>
      <c r="N99" s="148"/>
      <c r="O99" s="154"/>
      <c r="P99" s="154"/>
      <c r="Q99" s="156"/>
    </row>
    <row r="100" spans="1:17" x14ac:dyDescent="0.2">
      <c r="A100" s="103"/>
      <c r="B100" s="10"/>
      <c r="C100" s="143"/>
      <c r="D100" s="144"/>
      <c r="E100" s="145"/>
      <c r="F100" s="144"/>
      <c r="G100" s="144"/>
      <c r="H100" s="144"/>
      <c r="I100" s="144"/>
      <c r="J100" s="144"/>
      <c r="K100" s="144"/>
      <c r="L100" s="145"/>
      <c r="M100" s="144"/>
      <c r="N100" s="144"/>
      <c r="O100" s="144"/>
      <c r="P100" s="144"/>
      <c r="Q100" s="158"/>
    </row>
    <row r="101" spans="1:17" x14ac:dyDescent="0.2">
      <c r="A101" s="1"/>
      <c r="B101" s="122"/>
      <c r="C101" s="147"/>
      <c r="D101" s="148"/>
      <c r="E101" s="149"/>
      <c r="F101" s="148"/>
      <c r="G101" s="148"/>
      <c r="H101" s="165"/>
      <c r="I101" s="166"/>
      <c r="J101" s="148"/>
      <c r="K101" s="148"/>
      <c r="L101" s="149"/>
      <c r="M101" s="148"/>
      <c r="N101" s="148"/>
      <c r="O101" s="148"/>
      <c r="P101" s="148"/>
      <c r="Q101" s="159"/>
    </row>
    <row r="102" spans="1:17" x14ac:dyDescent="0.2">
      <c r="A102" s="103"/>
      <c r="B102" s="10"/>
      <c r="C102" s="160"/>
      <c r="D102" s="161"/>
      <c r="E102" s="161"/>
      <c r="F102" s="153"/>
      <c r="G102" s="154"/>
      <c r="H102" s="161"/>
      <c r="I102" s="161"/>
      <c r="J102" s="154"/>
      <c r="K102" s="154"/>
      <c r="L102" s="161"/>
      <c r="M102" s="154"/>
      <c r="N102" s="154"/>
      <c r="O102" s="154"/>
      <c r="P102" s="154"/>
      <c r="Q102" s="156"/>
    </row>
    <row r="103" spans="1:17" x14ac:dyDescent="0.2">
      <c r="A103" s="103"/>
      <c r="B103" s="10"/>
      <c r="C103" s="147"/>
      <c r="D103" s="148"/>
      <c r="E103" s="149"/>
      <c r="F103" s="144"/>
      <c r="G103" s="144"/>
      <c r="H103" s="148"/>
      <c r="I103" s="148"/>
      <c r="J103" s="144"/>
      <c r="K103" s="144"/>
      <c r="L103" s="149"/>
      <c r="M103" s="148"/>
      <c r="N103" s="148"/>
      <c r="O103" s="144"/>
      <c r="P103" s="144"/>
      <c r="Q103" s="158"/>
    </row>
    <row r="104" spans="1:17" x14ac:dyDescent="0.2">
      <c r="A104" s="1"/>
      <c r="B104" s="122"/>
      <c r="C104" s="147"/>
      <c r="D104" s="148"/>
      <c r="E104" s="149"/>
      <c r="F104" s="148"/>
      <c r="G104" s="148"/>
      <c r="H104" s="165"/>
      <c r="I104" s="166"/>
      <c r="J104" s="148"/>
      <c r="K104" s="148"/>
      <c r="L104" s="149"/>
      <c r="M104" s="148"/>
      <c r="N104" s="148"/>
      <c r="O104" s="148"/>
      <c r="P104" s="148"/>
      <c r="Q104" s="159"/>
    </row>
    <row r="105" spans="1:17" x14ac:dyDescent="0.2">
      <c r="A105" s="103"/>
      <c r="B105" s="10"/>
      <c r="C105" s="160"/>
      <c r="D105" s="161"/>
      <c r="E105" s="161"/>
      <c r="F105" s="153"/>
      <c r="G105" s="154"/>
      <c r="H105" s="161"/>
      <c r="I105" s="161"/>
      <c r="J105" s="154"/>
      <c r="K105" s="154"/>
      <c r="L105" s="161"/>
      <c r="M105" s="154"/>
      <c r="N105" s="148"/>
      <c r="O105" s="154"/>
      <c r="P105" s="154"/>
      <c r="Q105" s="156"/>
    </row>
    <row r="106" spans="1:17" x14ac:dyDescent="0.2">
      <c r="A106" s="103"/>
      <c r="B106" s="10"/>
      <c r="C106" s="147"/>
      <c r="D106" s="148"/>
      <c r="E106" s="149"/>
      <c r="F106" s="144"/>
      <c r="G106" s="144"/>
      <c r="H106" s="144"/>
      <c r="I106" s="144"/>
      <c r="J106" s="144"/>
      <c r="K106" s="144"/>
      <c r="L106" s="145"/>
      <c r="M106" s="144"/>
      <c r="N106" s="144"/>
      <c r="O106" s="144"/>
      <c r="P106" s="144"/>
      <c r="Q106" s="158"/>
    </row>
    <row r="107" spans="1:17" x14ac:dyDescent="0.2">
      <c r="A107" s="1"/>
      <c r="B107" s="122"/>
      <c r="C107" s="147"/>
      <c r="D107" s="148"/>
      <c r="E107" s="149"/>
      <c r="F107" s="148"/>
      <c r="G107" s="148"/>
      <c r="H107" s="165"/>
      <c r="I107" s="166"/>
      <c r="J107" s="148"/>
      <c r="K107" s="148"/>
      <c r="L107" s="149"/>
      <c r="M107" s="148"/>
      <c r="N107" s="148"/>
      <c r="O107" s="148"/>
      <c r="P107" s="148"/>
      <c r="Q107" s="159"/>
    </row>
    <row r="108" spans="1:17" x14ac:dyDescent="0.2">
      <c r="A108" s="103"/>
      <c r="B108" s="10"/>
      <c r="C108" s="160"/>
      <c r="D108" s="161"/>
      <c r="E108" s="161"/>
      <c r="F108" s="153"/>
      <c r="G108" s="154"/>
      <c r="H108" s="161"/>
      <c r="I108" s="161"/>
      <c r="J108" s="154"/>
      <c r="K108" s="154"/>
      <c r="L108" s="161"/>
      <c r="M108" s="154"/>
      <c r="N108" s="154"/>
      <c r="O108" s="154"/>
      <c r="P108" s="154"/>
      <c r="Q108" s="156"/>
    </row>
    <row r="109" spans="1:17" x14ac:dyDescent="0.2">
      <c r="A109" s="103"/>
      <c r="B109" s="10"/>
      <c r="C109" s="147"/>
      <c r="D109" s="148"/>
      <c r="E109" s="149"/>
      <c r="F109" s="144"/>
      <c r="G109" s="144"/>
      <c r="H109" s="144"/>
      <c r="I109" s="144"/>
      <c r="J109" s="144"/>
      <c r="K109" s="144"/>
      <c r="L109" s="145"/>
      <c r="M109" s="144"/>
      <c r="N109" s="144"/>
      <c r="O109" s="144"/>
      <c r="P109" s="144"/>
      <c r="Q109" s="158"/>
    </row>
    <row r="110" spans="1:17" x14ac:dyDescent="0.2">
      <c r="A110" s="1"/>
      <c r="B110" s="122"/>
      <c r="C110" s="147"/>
      <c r="D110" s="148"/>
      <c r="E110" s="149"/>
      <c r="F110" s="148"/>
      <c r="G110" s="148"/>
      <c r="H110" s="165"/>
      <c r="I110" s="166"/>
      <c r="J110" s="148"/>
      <c r="K110" s="148"/>
      <c r="L110" s="149"/>
      <c r="M110" s="148"/>
      <c r="N110" s="148"/>
      <c r="O110" s="148"/>
      <c r="P110" s="148"/>
      <c r="Q110" s="159"/>
    </row>
    <row r="111" spans="1:17" x14ac:dyDescent="0.2">
      <c r="A111" s="103"/>
      <c r="B111" s="10"/>
      <c r="C111" s="160"/>
      <c r="D111" s="161"/>
      <c r="E111" s="161"/>
      <c r="F111" s="153"/>
      <c r="G111" s="154"/>
      <c r="H111" s="161"/>
      <c r="I111" s="161"/>
      <c r="J111" s="154"/>
      <c r="K111" s="154"/>
      <c r="L111" s="161"/>
      <c r="M111" s="154"/>
      <c r="N111" s="154"/>
      <c r="O111" s="154"/>
      <c r="P111" s="154"/>
      <c r="Q111" s="156"/>
    </row>
    <row r="112" spans="1:17" x14ac:dyDescent="0.2">
      <c r="A112" s="103"/>
      <c r="B112" s="10"/>
      <c r="C112" s="147"/>
      <c r="D112" s="148"/>
      <c r="E112" s="149"/>
      <c r="F112" s="144"/>
      <c r="G112" s="144"/>
      <c r="H112" s="144"/>
      <c r="I112" s="144"/>
      <c r="J112" s="144"/>
      <c r="K112" s="144"/>
      <c r="L112" s="145"/>
      <c r="M112" s="144"/>
      <c r="N112" s="144"/>
      <c r="O112" s="144"/>
      <c r="P112" s="144"/>
      <c r="Q112" s="158"/>
    </row>
    <row r="113" spans="1:17" x14ac:dyDescent="0.2">
      <c r="A113" s="1"/>
      <c r="B113" s="122"/>
      <c r="C113" s="147"/>
      <c r="D113" s="148"/>
      <c r="E113" s="149"/>
      <c r="F113" s="148"/>
      <c r="G113" s="148"/>
      <c r="H113" s="165"/>
      <c r="I113" s="166"/>
      <c r="J113" s="148"/>
      <c r="K113" s="148"/>
      <c r="L113" s="149"/>
      <c r="M113" s="148"/>
      <c r="N113" s="148"/>
      <c r="O113" s="148"/>
      <c r="P113" s="148"/>
      <c r="Q113" s="159"/>
    </row>
    <row r="114" spans="1:17" x14ac:dyDescent="0.2">
      <c r="A114" s="103"/>
      <c r="B114" s="10"/>
      <c r="C114" s="160"/>
      <c r="D114" s="161"/>
      <c r="E114" s="161"/>
      <c r="F114" s="153"/>
      <c r="G114" s="154"/>
      <c r="H114" s="161"/>
      <c r="I114" s="161"/>
      <c r="J114" s="154"/>
      <c r="K114" s="154"/>
      <c r="L114" s="161"/>
      <c r="M114" s="154"/>
      <c r="N114" s="154"/>
      <c r="O114" s="154"/>
      <c r="P114" s="154"/>
      <c r="Q114" s="156"/>
    </row>
    <row r="115" spans="1:17" x14ac:dyDescent="0.2">
      <c r="A115" s="103"/>
      <c r="B115" s="10"/>
      <c r="C115" s="147"/>
      <c r="D115" s="148"/>
      <c r="E115" s="149"/>
      <c r="F115" s="144"/>
      <c r="G115" s="144"/>
      <c r="H115" s="144"/>
      <c r="I115" s="144"/>
      <c r="J115" s="144"/>
      <c r="K115" s="144"/>
      <c r="L115" s="145"/>
      <c r="M115" s="144"/>
      <c r="N115" s="144"/>
      <c r="O115" s="144"/>
      <c r="P115" s="144"/>
      <c r="Q115" s="158"/>
    </row>
    <row r="116" spans="1:17" x14ac:dyDescent="0.2">
      <c r="A116" s="1"/>
      <c r="B116" s="122"/>
      <c r="C116" s="147"/>
      <c r="D116" s="148"/>
      <c r="E116" s="149"/>
      <c r="F116" s="148"/>
      <c r="G116" s="148"/>
      <c r="H116" s="165"/>
      <c r="I116" s="166"/>
      <c r="J116" s="148"/>
      <c r="K116" s="148"/>
      <c r="L116" s="149"/>
      <c r="M116" s="148"/>
      <c r="N116" s="148"/>
      <c r="O116" s="148"/>
      <c r="P116" s="148"/>
      <c r="Q116" s="159"/>
    </row>
    <row r="117" spans="1:17" x14ac:dyDescent="0.2">
      <c r="A117" s="103"/>
      <c r="B117" s="10"/>
      <c r="C117" s="160"/>
      <c r="D117" s="161"/>
      <c r="E117" s="161"/>
      <c r="F117" s="153"/>
      <c r="G117" s="154"/>
      <c r="H117" s="161"/>
      <c r="I117" s="161"/>
      <c r="J117" s="154"/>
      <c r="K117" s="154"/>
      <c r="L117" s="161"/>
      <c r="M117" s="154"/>
      <c r="N117" s="154"/>
      <c r="O117" s="154"/>
      <c r="P117" s="154"/>
      <c r="Q117" s="156"/>
    </row>
    <row r="118" spans="1:17" x14ac:dyDescent="0.2">
      <c r="A118" s="103"/>
      <c r="B118" s="10"/>
      <c r="C118" s="147"/>
      <c r="D118" s="148"/>
      <c r="E118" s="149"/>
      <c r="F118" s="144"/>
      <c r="G118" s="144"/>
      <c r="H118" s="144"/>
      <c r="I118" s="144"/>
      <c r="J118" s="144"/>
      <c r="K118" s="144"/>
      <c r="L118" s="145"/>
      <c r="M118" s="144"/>
      <c r="N118" s="144"/>
      <c r="O118" s="144"/>
      <c r="P118" s="144"/>
      <c r="Q118" s="158"/>
    </row>
    <row r="119" spans="1:17" x14ac:dyDescent="0.2">
      <c r="A119" s="1"/>
      <c r="B119" s="122"/>
      <c r="C119" s="147"/>
      <c r="D119" s="148"/>
      <c r="E119" s="149"/>
      <c r="F119" s="148"/>
      <c r="G119" s="148"/>
      <c r="H119" s="165"/>
      <c r="I119" s="166"/>
      <c r="J119" s="148"/>
      <c r="K119" s="148"/>
      <c r="L119" s="149"/>
      <c r="M119" s="148"/>
      <c r="N119" s="148"/>
      <c r="O119" s="148"/>
      <c r="P119" s="148"/>
      <c r="Q119" s="159"/>
    </row>
    <row r="120" spans="1:17" x14ac:dyDescent="0.2">
      <c r="A120" s="103"/>
      <c r="B120" s="10"/>
      <c r="C120" s="160"/>
      <c r="D120" s="161"/>
      <c r="E120" s="161"/>
      <c r="F120" s="153"/>
      <c r="G120" s="154"/>
      <c r="H120" s="161"/>
      <c r="I120" s="161"/>
      <c r="J120" s="154"/>
      <c r="K120" s="154"/>
      <c r="L120" s="161"/>
      <c r="M120" s="154"/>
      <c r="N120" s="154"/>
      <c r="O120" s="154"/>
      <c r="P120" s="154"/>
      <c r="Q120" s="156"/>
    </row>
    <row r="121" spans="1:17" x14ac:dyDescent="0.2">
      <c r="A121" s="103"/>
      <c r="B121" s="10"/>
      <c r="C121" s="147"/>
      <c r="D121" s="148"/>
      <c r="E121" s="149"/>
      <c r="F121" s="144"/>
      <c r="G121" s="144"/>
      <c r="H121" s="144"/>
      <c r="I121" s="144"/>
      <c r="J121" s="144"/>
      <c r="K121" s="144"/>
      <c r="L121" s="145"/>
      <c r="M121" s="144"/>
      <c r="N121" s="144"/>
      <c r="O121" s="144"/>
      <c r="P121" s="144"/>
      <c r="Q121" s="158"/>
    </row>
    <row r="122" spans="1:17" x14ac:dyDescent="0.2">
      <c r="A122" s="1"/>
      <c r="B122" s="122"/>
      <c r="C122" s="147"/>
      <c r="D122" s="148"/>
      <c r="E122" s="149"/>
      <c r="F122" s="148"/>
      <c r="G122" s="148"/>
      <c r="H122" s="165"/>
      <c r="I122" s="166"/>
      <c r="J122" s="148"/>
      <c r="K122" s="148"/>
      <c r="L122" s="149"/>
      <c r="M122" s="148"/>
      <c r="N122" s="148"/>
      <c r="O122" s="148"/>
      <c r="P122" s="148"/>
      <c r="Q122" s="159"/>
    </row>
    <row r="123" spans="1:17" x14ac:dyDescent="0.2">
      <c r="A123" s="103"/>
      <c r="B123" s="10"/>
      <c r="C123" s="160"/>
      <c r="D123" s="161"/>
      <c r="E123" s="161"/>
      <c r="F123" s="153"/>
      <c r="G123" s="154"/>
      <c r="H123" s="161"/>
      <c r="I123" s="161"/>
      <c r="J123" s="154"/>
      <c r="K123" s="154"/>
      <c r="L123" s="161"/>
      <c r="M123" s="154"/>
      <c r="N123" s="154"/>
      <c r="O123" s="154"/>
      <c r="P123" s="154"/>
      <c r="Q123" s="156"/>
    </row>
    <row r="124" spans="1:17" x14ac:dyDescent="0.2">
      <c r="A124" s="103"/>
      <c r="B124" s="10"/>
      <c r="C124" s="147"/>
      <c r="D124" s="148"/>
      <c r="E124" s="149"/>
      <c r="F124" s="144"/>
      <c r="G124" s="144"/>
      <c r="H124" s="144"/>
      <c r="I124" s="144"/>
      <c r="J124" s="144"/>
      <c r="K124" s="144"/>
      <c r="L124" s="145"/>
      <c r="M124" s="144"/>
      <c r="N124" s="144"/>
      <c r="O124" s="144"/>
      <c r="P124" s="144"/>
      <c r="Q124" s="158"/>
    </row>
    <row r="125" spans="1:17" x14ac:dyDescent="0.2">
      <c r="A125" s="1"/>
      <c r="B125" s="122"/>
      <c r="C125" s="147"/>
      <c r="D125" s="148"/>
      <c r="E125" s="149"/>
      <c r="F125" s="148"/>
      <c r="G125" s="148"/>
      <c r="H125" s="165"/>
      <c r="I125" s="166"/>
      <c r="J125" s="148"/>
      <c r="K125" s="148"/>
      <c r="L125" s="149"/>
      <c r="M125" s="148"/>
      <c r="N125" s="148"/>
      <c r="O125" s="148"/>
      <c r="P125" s="148"/>
      <c r="Q125" s="159"/>
    </row>
    <row r="126" spans="1:17" x14ac:dyDescent="0.2">
      <c r="A126" s="103"/>
      <c r="B126" s="10"/>
      <c r="C126" s="160"/>
      <c r="D126" s="161"/>
      <c r="E126" s="161"/>
      <c r="F126" s="153"/>
      <c r="G126" s="154"/>
      <c r="H126" s="161"/>
      <c r="I126" s="161"/>
      <c r="J126" s="154"/>
      <c r="K126" s="154"/>
      <c r="L126" s="161"/>
      <c r="M126" s="154"/>
      <c r="N126" s="154"/>
      <c r="O126" s="154"/>
      <c r="P126" s="154"/>
      <c r="Q126" s="156"/>
    </row>
    <row r="127" spans="1:17" x14ac:dyDescent="0.2">
      <c r="A127" s="103"/>
      <c r="B127" s="10"/>
      <c r="C127" s="147"/>
      <c r="D127" s="148"/>
      <c r="E127" s="149"/>
      <c r="F127" s="144"/>
      <c r="G127" s="144"/>
      <c r="H127" s="144"/>
      <c r="I127" s="144"/>
      <c r="J127" s="144"/>
      <c r="K127" s="144"/>
      <c r="L127" s="145"/>
      <c r="M127" s="144"/>
      <c r="N127" s="144"/>
      <c r="O127" s="144"/>
      <c r="P127" s="144"/>
      <c r="Q127" s="158"/>
    </row>
    <row r="128" spans="1:17" x14ac:dyDescent="0.2">
      <c r="A128" s="1"/>
      <c r="B128" s="122"/>
      <c r="C128" s="147"/>
      <c r="D128" s="148"/>
      <c r="E128" s="149"/>
      <c r="F128" s="148"/>
      <c r="G128" s="148"/>
      <c r="H128" s="165"/>
      <c r="I128" s="166"/>
      <c r="J128" s="148"/>
      <c r="K128" s="148"/>
      <c r="L128" s="149"/>
      <c r="M128" s="148"/>
      <c r="N128" s="148"/>
      <c r="O128" s="148"/>
      <c r="P128" s="148"/>
      <c r="Q128" s="159"/>
    </row>
    <row r="129" spans="1:17" x14ac:dyDescent="0.2">
      <c r="A129" s="103"/>
      <c r="B129" s="10"/>
      <c r="C129" s="160"/>
      <c r="D129" s="161"/>
      <c r="E129" s="161"/>
      <c r="F129" s="153"/>
      <c r="G129" s="154"/>
      <c r="H129" s="161"/>
      <c r="I129" s="161"/>
      <c r="J129" s="154"/>
      <c r="K129" s="154"/>
      <c r="L129" s="161"/>
      <c r="M129" s="154"/>
      <c r="N129" s="154"/>
      <c r="O129" s="154"/>
      <c r="P129" s="154"/>
      <c r="Q129" s="156"/>
    </row>
    <row r="130" spans="1:17" x14ac:dyDescent="0.2">
      <c r="A130" s="103"/>
      <c r="B130" s="10"/>
      <c r="C130" s="147"/>
      <c r="D130" s="148"/>
      <c r="E130" s="149"/>
      <c r="F130" s="144"/>
      <c r="G130" s="144"/>
      <c r="H130" s="144"/>
      <c r="I130" s="144"/>
      <c r="J130" s="144"/>
      <c r="K130" s="144"/>
      <c r="L130" s="145"/>
      <c r="M130" s="144"/>
      <c r="N130" s="144"/>
      <c r="O130" s="144"/>
      <c r="P130" s="144"/>
      <c r="Q130" s="158"/>
    </row>
    <row r="131" spans="1:17" x14ac:dyDescent="0.2">
      <c r="A131" s="1"/>
      <c r="B131" s="122"/>
      <c r="C131" s="147"/>
      <c r="D131" s="148"/>
      <c r="E131" s="149"/>
      <c r="F131" s="148"/>
      <c r="G131" s="148"/>
      <c r="H131" s="165"/>
      <c r="I131" s="166"/>
      <c r="J131" s="148"/>
      <c r="K131" s="148"/>
      <c r="L131" s="149"/>
      <c r="M131" s="148"/>
      <c r="N131" s="148"/>
      <c r="O131" s="148"/>
      <c r="P131" s="148"/>
      <c r="Q131" s="159"/>
    </row>
    <row r="132" spans="1:17" x14ac:dyDescent="0.2">
      <c r="A132" s="103"/>
      <c r="B132" s="10"/>
      <c r="C132" s="160"/>
      <c r="D132" s="161"/>
      <c r="E132" s="161"/>
      <c r="F132" s="153"/>
      <c r="G132" s="154"/>
      <c r="H132" s="161"/>
      <c r="I132" s="161"/>
      <c r="J132" s="154"/>
      <c r="K132" s="154"/>
      <c r="L132" s="161"/>
      <c r="M132" s="154"/>
      <c r="N132" s="154"/>
      <c r="O132" s="154"/>
      <c r="P132" s="154"/>
      <c r="Q132" s="156"/>
    </row>
    <row r="133" spans="1:17" x14ac:dyDescent="0.2">
      <c r="A133" s="103"/>
      <c r="B133" s="10"/>
      <c r="C133" s="147"/>
      <c r="D133" s="148"/>
      <c r="E133" s="149"/>
      <c r="F133" s="144"/>
      <c r="G133" s="144"/>
      <c r="H133" s="144"/>
      <c r="I133" s="144"/>
      <c r="J133" s="144"/>
      <c r="K133" s="144"/>
      <c r="L133" s="145"/>
      <c r="M133" s="144"/>
      <c r="N133" s="144"/>
      <c r="O133" s="144"/>
      <c r="P133" s="144"/>
      <c r="Q133" s="158"/>
    </row>
    <row r="134" spans="1:17" x14ac:dyDescent="0.2">
      <c r="A134" s="1"/>
      <c r="B134" s="122"/>
      <c r="C134" s="147"/>
      <c r="D134" s="148"/>
      <c r="E134" s="149"/>
      <c r="F134" s="148"/>
      <c r="G134" s="148"/>
      <c r="H134" s="165"/>
      <c r="I134" s="166"/>
      <c r="J134" s="148"/>
      <c r="K134" s="148"/>
      <c r="L134" s="149"/>
      <c r="M134" s="148"/>
      <c r="N134" s="148"/>
      <c r="O134" s="148"/>
      <c r="P134" s="148"/>
      <c r="Q134" s="159"/>
    </row>
    <row r="135" spans="1:17" x14ac:dyDescent="0.2">
      <c r="A135" s="103"/>
      <c r="B135" s="10"/>
      <c r="C135" s="160"/>
      <c r="D135" s="161"/>
      <c r="E135" s="161"/>
      <c r="F135" s="153"/>
      <c r="G135" s="154"/>
      <c r="H135" s="161"/>
      <c r="I135" s="161"/>
      <c r="J135" s="154"/>
      <c r="K135" s="154"/>
      <c r="L135" s="161"/>
      <c r="M135" s="154"/>
      <c r="N135" s="154"/>
      <c r="O135" s="154"/>
      <c r="P135" s="154"/>
      <c r="Q135" s="156"/>
    </row>
    <row r="136" spans="1:17" x14ac:dyDescent="0.2">
      <c r="A136" s="103"/>
      <c r="B136" s="10"/>
      <c r="C136" s="143"/>
      <c r="D136" s="144"/>
      <c r="E136" s="145"/>
      <c r="F136" s="144"/>
      <c r="G136" s="144"/>
      <c r="H136" s="144"/>
      <c r="I136" s="144"/>
      <c r="J136" s="144"/>
      <c r="K136" s="144"/>
      <c r="L136" s="145"/>
      <c r="M136" s="144"/>
      <c r="N136" s="144"/>
      <c r="O136" s="144"/>
      <c r="P136" s="144"/>
      <c r="Q136" s="158"/>
    </row>
    <row r="137" spans="1:17" x14ac:dyDescent="0.2">
      <c r="A137" s="1"/>
      <c r="B137" s="122"/>
      <c r="C137" s="147"/>
      <c r="D137" s="148"/>
      <c r="E137" s="149"/>
      <c r="F137" s="148"/>
      <c r="G137" s="148"/>
      <c r="H137" s="165"/>
      <c r="I137" s="166"/>
      <c r="J137" s="148"/>
      <c r="K137" s="148"/>
      <c r="L137" s="149"/>
      <c r="M137" s="148"/>
      <c r="N137" s="148"/>
      <c r="O137" s="148"/>
      <c r="P137" s="148"/>
      <c r="Q137" s="159"/>
    </row>
    <row r="138" spans="1:17" x14ac:dyDescent="0.2">
      <c r="A138" s="103"/>
      <c r="B138" s="10"/>
      <c r="C138" s="160"/>
      <c r="D138" s="161"/>
      <c r="E138" s="161"/>
      <c r="F138" s="153"/>
      <c r="G138" s="154"/>
      <c r="H138" s="161"/>
      <c r="I138" s="161"/>
      <c r="J138" s="154"/>
      <c r="K138" s="154"/>
      <c r="L138" s="161"/>
      <c r="M138" s="154"/>
      <c r="N138" s="154"/>
      <c r="O138" s="154"/>
      <c r="P138" s="154"/>
      <c r="Q138" s="156"/>
    </row>
    <row r="139" spans="1:17" x14ac:dyDescent="0.2">
      <c r="A139" s="103"/>
      <c r="B139" s="10"/>
      <c r="C139" s="143"/>
      <c r="D139" s="144"/>
      <c r="E139" s="145"/>
      <c r="F139" s="144"/>
      <c r="G139" s="144"/>
      <c r="H139" s="144"/>
      <c r="I139" s="144"/>
      <c r="J139" s="144"/>
      <c r="K139" s="144"/>
      <c r="L139" s="145"/>
      <c r="M139" s="144"/>
      <c r="N139" s="144"/>
      <c r="O139" s="144"/>
      <c r="P139" s="144"/>
      <c r="Q139" s="158"/>
    </row>
    <row r="140" spans="1:17" x14ac:dyDescent="0.2">
      <c r="A140" s="1"/>
      <c r="B140" s="122"/>
      <c r="C140" s="147"/>
      <c r="D140" s="148"/>
      <c r="E140" s="149"/>
      <c r="F140" s="148"/>
      <c r="G140" s="148"/>
      <c r="H140" s="165"/>
      <c r="I140" s="166"/>
      <c r="J140" s="148"/>
      <c r="K140" s="148"/>
      <c r="L140" s="149"/>
      <c r="M140" s="148"/>
      <c r="N140" s="148"/>
      <c r="O140" s="148"/>
      <c r="P140" s="148"/>
      <c r="Q140" s="159"/>
    </row>
    <row r="141" spans="1:17" x14ac:dyDescent="0.2">
      <c r="A141" s="103"/>
      <c r="B141" s="10"/>
      <c r="C141" s="160"/>
      <c r="D141" s="161"/>
      <c r="E141" s="161"/>
      <c r="F141" s="153"/>
      <c r="G141" s="154"/>
      <c r="H141" s="161"/>
      <c r="I141" s="161"/>
      <c r="J141" s="154"/>
      <c r="K141" s="154"/>
      <c r="L141" s="161"/>
      <c r="M141" s="154"/>
      <c r="N141" s="154"/>
      <c r="O141" s="154"/>
      <c r="P141" s="154"/>
      <c r="Q141" s="156"/>
    </row>
    <row r="142" spans="1:17" x14ac:dyDescent="0.2">
      <c r="A142" s="103"/>
      <c r="B142" s="10"/>
      <c r="C142" s="143"/>
      <c r="D142" s="144"/>
      <c r="E142" s="145"/>
      <c r="F142" s="144"/>
      <c r="G142" s="144"/>
      <c r="H142" s="144"/>
      <c r="I142" s="144"/>
      <c r="J142" s="144"/>
      <c r="K142" s="144"/>
      <c r="L142" s="145"/>
      <c r="M142" s="144"/>
      <c r="N142" s="144"/>
      <c r="O142" s="144"/>
      <c r="P142" s="144"/>
      <c r="Q142" s="158"/>
    </row>
    <row r="143" spans="1:17" x14ac:dyDescent="0.2">
      <c r="A143" s="1"/>
      <c r="B143" s="122"/>
      <c r="C143" s="147"/>
      <c r="D143" s="148"/>
      <c r="E143" s="149"/>
      <c r="F143" s="148"/>
      <c r="G143" s="148"/>
      <c r="H143" s="165"/>
      <c r="I143" s="166"/>
      <c r="J143" s="148"/>
      <c r="K143" s="148"/>
      <c r="L143" s="149"/>
      <c r="M143" s="148"/>
      <c r="N143" s="148"/>
      <c r="O143" s="148"/>
      <c r="P143" s="148"/>
      <c r="Q143" s="159"/>
    </row>
    <row r="144" spans="1:17" x14ac:dyDescent="0.2">
      <c r="A144" s="103"/>
      <c r="B144" s="10"/>
      <c r="C144" s="160"/>
      <c r="D144" s="161"/>
      <c r="E144" s="161"/>
      <c r="F144" s="153"/>
      <c r="G144" s="154"/>
      <c r="H144" s="161"/>
      <c r="I144" s="161"/>
      <c r="J144" s="154"/>
      <c r="K144" s="154"/>
      <c r="L144" s="161"/>
      <c r="M144" s="154"/>
      <c r="N144" s="154"/>
      <c r="O144" s="154"/>
      <c r="P144" s="154"/>
      <c r="Q144" s="156"/>
    </row>
    <row r="145" spans="1:22" x14ac:dyDescent="0.2">
      <c r="A145" s="103"/>
      <c r="B145" s="10"/>
      <c r="C145" s="143"/>
      <c r="D145" s="144"/>
      <c r="E145" s="145"/>
      <c r="F145" s="144"/>
      <c r="G145" s="144"/>
      <c r="H145" s="144"/>
      <c r="I145" s="144"/>
      <c r="J145" s="144"/>
      <c r="K145" s="144"/>
      <c r="L145" s="145"/>
      <c r="M145" s="144"/>
      <c r="N145" s="144"/>
      <c r="O145" s="144"/>
      <c r="P145" s="144"/>
      <c r="Q145" s="158"/>
    </row>
    <row r="146" spans="1:22" x14ac:dyDescent="0.2">
      <c r="A146" s="1"/>
      <c r="B146" s="122"/>
      <c r="C146" s="147"/>
      <c r="D146" s="148"/>
      <c r="E146" s="149"/>
      <c r="F146" s="148"/>
      <c r="G146" s="148"/>
      <c r="H146" s="165"/>
      <c r="I146" s="166"/>
      <c r="J146" s="148"/>
      <c r="K146" s="148"/>
      <c r="L146" s="149"/>
      <c r="M146" s="148"/>
      <c r="N146" s="148"/>
      <c r="O146" s="148"/>
      <c r="P146" s="148"/>
      <c r="Q146" s="159"/>
    </row>
    <row r="147" spans="1:22" x14ac:dyDescent="0.2">
      <c r="A147" s="103"/>
      <c r="B147" s="10"/>
      <c r="C147" s="160"/>
      <c r="D147" s="161"/>
      <c r="E147" s="161"/>
      <c r="F147" s="153"/>
      <c r="G147" s="154"/>
      <c r="H147" s="161"/>
      <c r="I147" s="161"/>
      <c r="J147" s="154"/>
      <c r="K147" s="154"/>
      <c r="L147" s="161"/>
      <c r="M147" s="154"/>
      <c r="N147" s="154"/>
      <c r="O147" s="154"/>
      <c r="P147" s="154"/>
      <c r="Q147" s="156"/>
    </row>
    <row r="148" spans="1:22" x14ac:dyDescent="0.2">
      <c r="A148" s="103"/>
      <c r="B148" s="10"/>
      <c r="C148" s="147"/>
      <c r="D148" s="148"/>
      <c r="E148" s="149"/>
      <c r="F148" s="144"/>
      <c r="G148" s="144"/>
      <c r="H148" s="144"/>
      <c r="I148" s="144"/>
      <c r="J148" s="144"/>
      <c r="K148" s="144"/>
      <c r="L148" s="145"/>
      <c r="M148" s="144"/>
      <c r="N148" s="144"/>
      <c r="O148" s="144"/>
      <c r="P148" s="144"/>
      <c r="Q148" s="158"/>
    </row>
    <row r="149" spans="1:22" x14ac:dyDescent="0.2">
      <c r="A149" s="1"/>
      <c r="B149" s="122"/>
      <c r="C149" s="147"/>
      <c r="D149" s="148"/>
      <c r="E149" s="149"/>
      <c r="F149" s="148"/>
      <c r="G149" s="148"/>
      <c r="H149" s="165"/>
      <c r="I149" s="166"/>
      <c r="J149" s="148"/>
      <c r="K149" s="148"/>
      <c r="L149" s="149"/>
      <c r="M149" s="148"/>
      <c r="N149" s="148"/>
      <c r="O149" s="148"/>
      <c r="P149" s="148"/>
      <c r="Q149" s="159"/>
    </row>
    <row r="150" spans="1:22" x14ac:dyDescent="0.2">
      <c r="A150" s="103"/>
      <c r="B150" s="10"/>
      <c r="C150" s="160"/>
      <c r="D150" s="161"/>
      <c r="E150" s="161"/>
      <c r="F150" s="153"/>
      <c r="G150" s="154"/>
      <c r="H150" s="161"/>
      <c r="I150" s="161"/>
      <c r="J150" s="154"/>
      <c r="K150" s="154"/>
      <c r="L150" s="161"/>
      <c r="M150" s="154"/>
      <c r="N150" s="154"/>
      <c r="O150" s="154"/>
      <c r="P150" s="154"/>
      <c r="Q150" s="156"/>
    </row>
    <row r="151" spans="1:22" x14ac:dyDescent="0.2">
      <c r="A151" s="103"/>
      <c r="B151" s="10"/>
      <c r="C151" s="147"/>
      <c r="D151" s="148"/>
      <c r="E151" s="149"/>
      <c r="F151" s="144"/>
      <c r="G151" s="144"/>
      <c r="H151" s="144"/>
      <c r="I151" s="144"/>
      <c r="J151" s="144"/>
      <c r="K151" s="144"/>
      <c r="L151" s="145"/>
      <c r="M151" s="144"/>
      <c r="N151" s="144"/>
      <c r="O151" s="144"/>
      <c r="P151" s="144"/>
      <c r="Q151" s="158"/>
    </row>
    <row r="152" spans="1:22" x14ac:dyDescent="0.2">
      <c r="A152" s="1"/>
      <c r="B152" s="122"/>
      <c r="C152" s="147"/>
      <c r="D152" s="148"/>
      <c r="E152" s="149"/>
      <c r="F152" s="148"/>
      <c r="G152" s="148"/>
      <c r="H152" s="165"/>
      <c r="I152" s="166"/>
      <c r="J152" s="148"/>
      <c r="K152" s="148"/>
      <c r="L152" s="149"/>
      <c r="M152" s="148"/>
      <c r="N152" s="148"/>
      <c r="O152" s="148"/>
      <c r="P152" s="148"/>
      <c r="Q152" s="159"/>
    </row>
    <row r="153" spans="1:22" x14ac:dyDescent="0.2">
      <c r="A153" s="103"/>
      <c r="B153" s="10"/>
      <c r="C153" s="160"/>
      <c r="D153" s="161"/>
      <c r="E153" s="161"/>
      <c r="F153" s="153"/>
      <c r="G153" s="154"/>
      <c r="H153" s="161"/>
      <c r="I153" s="161"/>
      <c r="J153" s="154"/>
      <c r="K153" s="154"/>
      <c r="L153" s="161"/>
      <c r="M153" s="154"/>
      <c r="N153" s="154"/>
      <c r="O153" s="154"/>
      <c r="P153" s="154"/>
      <c r="Q153" s="156"/>
    </row>
    <row r="154" spans="1:22" x14ac:dyDescent="0.2">
      <c r="A154" s="103"/>
    </row>
    <row r="155" spans="1:22" x14ac:dyDescent="0.2">
      <c r="A155" s="103"/>
      <c r="V155" s="169"/>
    </row>
  </sheetData>
  <sheetProtection sheet="1" objects="1" scenarios="1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SPlanar TH</vt:lpstr>
      <vt:lpstr>Panels</vt:lpstr>
      <vt:lpstr>Path</vt:lpstr>
    </vt:vector>
  </TitlesOfParts>
  <Company>B&amp;G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Steele</dc:creator>
  <cp:lastModifiedBy>Brian.Steele</cp:lastModifiedBy>
  <cp:lastPrinted>2011-11-06T17:54:57Z</cp:lastPrinted>
  <dcterms:created xsi:type="dcterms:W3CDTF">2010-07-12T00:49:36Z</dcterms:created>
  <dcterms:modified xsi:type="dcterms:W3CDTF">2018-01-23T01:11:41Z</dcterms:modified>
</cp:coreProperties>
</file>