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 codeName="{22E68647-3C60-695B-3CA0-4895CD717B8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3edf54d9706e4d/diyaudio/boxplan/"/>
    </mc:Choice>
  </mc:AlternateContent>
  <xr:revisionPtr revIDLastSave="0" documentId="8_{81AC37E5-76A9-463E-860B-1142A92D1C9F}" xr6:coauthVersionLast="40" xr6:coauthVersionMax="40" xr10:uidLastSave="{00000000-0000-0000-0000-000000000000}"/>
  <bookViews>
    <workbookView xWindow="15810" yWindow="3120" windowWidth="18435" windowHeight="13935" xr2:uid="{00000000-000D-0000-FFFF-FFFF00000000}"/>
  </bookViews>
  <sheets>
    <sheet name="TH" sheetId="6" r:id="rId1"/>
    <sheet name="Panels" sheetId="7" r:id="rId2"/>
    <sheet name="Path" sheetId="8" r:id="rId3"/>
    <sheet name="Guides" sheetId="9" r:id="rId4"/>
  </sheets>
  <definedNames>
    <definedName name="Amin">#REF!</definedName>
    <definedName name="Ax">#REF!</definedName>
    <definedName name="Bx">#REF!</definedName>
    <definedName name="C_1x">#REF!</definedName>
    <definedName name="Cx">#REF!</definedName>
    <definedName name="D">#REF!</definedName>
    <definedName name="Delta">#REF!</definedName>
    <definedName name="dX">#REF!</definedName>
    <definedName name="dY">#REF!</definedName>
    <definedName name="H">#REF!</definedName>
    <definedName name="p">#REF!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6" l="1"/>
  <c r="F45" i="6"/>
  <c r="C122" i="8"/>
  <c r="D113" i="8"/>
  <c r="D92" i="8"/>
  <c r="A24" i="7"/>
  <c r="C30" i="7"/>
  <c r="D30" i="7"/>
  <c r="A30" i="7"/>
  <c r="D13" i="7"/>
  <c r="D6" i="7"/>
  <c r="D12" i="7"/>
  <c r="D18" i="7"/>
  <c r="C18" i="7"/>
  <c r="C12" i="7" s="1"/>
  <c r="E45" i="6"/>
  <c r="B46" i="6"/>
  <c r="B44" i="6"/>
  <c r="B45" i="6"/>
  <c r="A18" i="7"/>
  <c r="D13" i="6"/>
  <c r="C31" i="7" l="1"/>
  <c r="B86" i="6"/>
  <c r="B82" i="6"/>
  <c r="B74" i="6"/>
  <c r="D9" i="8" l="1"/>
  <c r="Q3" i="8"/>
  <c r="B78" i="6" l="1"/>
  <c r="D6" i="6" l="1"/>
  <c r="D5" i="6"/>
  <c r="D4" i="6"/>
  <c r="D72" i="6"/>
  <c r="F15" i="6"/>
  <c r="AH40" i="8" l="1"/>
  <c r="B10" i="7"/>
  <c r="B16" i="7"/>
  <c r="B22" i="7"/>
  <c r="B28" i="7"/>
  <c r="B34" i="7"/>
  <c r="B40" i="7"/>
  <c r="B46" i="7"/>
  <c r="B52" i="7"/>
  <c r="B58" i="7"/>
  <c r="B64" i="7"/>
  <c r="A60" i="7"/>
  <c r="B53" i="6"/>
  <c r="B57" i="7"/>
  <c r="D12" i="6"/>
  <c r="D38" i="6" s="1"/>
  <c r="O7" i="7"/>
  <c r="AH77" i="8" l="1"/>
  <c r="T18" i="9"/>
  <c r="T21" i="9" s="1"/>
  <c r="S7" i="7"/>
  <c r="B43" i="7"/>
  <c r="B37" i="7"/>
  <c r="B39" i="7" s="1"/>
  <c r="B61" i="7"/>
  <c r="B49" i="7"/>
  <c r="A57" i="7"/>
  <c r="P7" i="7"/>
  <c r="R7" i="7" s="1"/>
  <c r="Q7" i="7"/>
  <c r="T7" i="7"/>
  <c r="X7" i="7" s="1"/>
  <c r="U7" i="7" l="1"/>
  <c r="W7" i="7" s="1"/>
  <c r="A63" i="7"/>
  <c r="B63" i="7"/>
  <c r="A39" i="7"/>
  <c r="B45" i="7"/>
  <c r="A45" i="7"/>
  <c r="A51" i="7"/>
  <c r="B51" i="7"/>
  <c r="V7" i="7"/>
  <c r="A12" i="7" l="1"/>
  <c r="B43" i="6"/>
  <c r="E43" i="6"/>
  <c r="J72" i="6" l="1"/>
  <c r="J104" i="6"/>
  <c r="J103" i="6"/>
  <c r="J102" i="6"/>
  <c r="J99" i="6"/>
  <c r="J98" i="6"/>
  <c r="J97" i="6"/>
  <c r="J96" i="6"/>
  <c r="J95" i="6"/>
  <c r="J94" i="6"/>
  <c r="J93" i="6"/>
  <c r="J92" i="6"/>
  <c r="J91" i="6"/>
  <c r="J90" i="6"/>
  <c r="J89" i="6"/>
  <c r="D101" i="6"/>
  <c r="J101" i="6" s="1"/>
  <c r="J87" i="6"/>
  <c r="J83" i="6"/>
  <c r="J79" i="6"/>
  <c r="J75" i="6"/>
  <c r="J71" i="6"/>
  <c r="J70" i="6"/>
  <c r="J69" i="6"/>
  <c r="J68" i="6"/>
  <c r="J67" i="6"/>
  <c r="J88" i="6" l="1"/>
  <c r="D60" i="6" l="1"/>
  <c r="D100" i="6" s="1"/>
  <c r="J100" i="6" s="1"/>
  <c r="B51" i="6" l="1"/>
  <c r="B49" i="6"/>
  <c r="A54" i="7"/>
  <c r="A48" i="7"/>
  <c r="B48" i="6"/>
  <c r="A42" i="7"/>
  <c r="T12" i="9" s="1"/>
  <c r="T15" i="9" s="1"/>
  <c r="A36" i="7"/>
  <c r="T6" i="9" s="1"/>
  <c r="T9" i="9" s="1"/>
  <c r="B47" i="6"/>
  <c r="B42" i="6"/>
  <c r="A6" i="7"/>
  <c r="AH52" i="8"/>
  <c r="AH79" i="8" s="1"/>
  <c r="B29" i="8"/>
  <c r="B32" i="8" s="1"/>
  <c r="B35" i="8" s="1"/>
  <c r="B38" i="8" s="1"/>
  <c r="E23" i="8"/>
  <c r="E22" i="8"/>
  <c r="E21" i="8"/>
  <c r="E19" i="8"/>
  <c r="E18" i="8"/>
  <c r="E17" i="8"/>
  <c r="M28" i="8"/>
  <c r="M29" i="8" s="1"/>
  <c r="N27" i="8"/>
  <c r="E3" i="8" s="1"/>
  <c r="F8" i="6"/>
  <c r="F7" i="6"/>
  <c r="F6" i="6"/>
  <c r="F5" i="6"/>
  <c r="F4" i="6"/>
  <c r="F13" i="6"/>
  <c r="F11" i="6"/>
  <c r="R35" i="7"/>
  <c r="R34" i="7"/>
  <c r="R32" i="7"/>
  <c r="R31" i="7"/>
  <c r="R30" i="7"/>
  <c r="R29" i="7"/>
  <c r="R28" i="7"/>
  <c r="R27" i="7"/>
  <c r="R25" i="7"/>
  <c r="R24" i="7"/>
  <c r="R23" i="7"/>
  <c r="R22" i="7"/>
  <c r="R21" i="7"/>
  <c r="R20" i="7"/>
  <c r="D20" i="7"/>
  <c r="C19" i="7"/>
  <c r="F38" i="6"/>
  <c r="E42" i="6"/>
  <c r="F12" i="6"/>
  <c r="F19" i="7" l="1"/>
  <c r="W22" i="9"/>
  <c r="G20" i="7"/>
  <c r="V19" i="9"/>
  <c r="T13" i="9"/>
  <c r="T10" i="9"/>
  <c r="T19" i="9"/>
  <c r="T22" i="9" s="1"/>
  <c r="T7" i="9"/>
  <c r="T16" i="9"/>
  <c r="G18" i="7"/>
  <c r="V22" i="9"/>
  <c r="F18" i="7"/>
  <c r="U22" i="9"/>
  <c r="AH134" i="8"/>
  <c r="AH128" i="8" s="1"/>
  <c r="AH29" i="8"/>
  <c r="AH136" i="8"/>
  <c r="AH133" i="8"/>
  <c r="AH127" i="8" s="1"/>
  <c r="AH68" i="8"/>
  <c r="AH65" i="8"/>
  <c r="AH30" i="8"/>
  <c r="AH56" i="8"/>
  <c r="AH64" i="8"/>
  <c r="AH76" i="8"/>
  <c r="AH67" i="8" s="1"/>
  <c r="AH55" i="8"/>
  <c r="B41" i="8"/>
  <c r="B44" i="8" s="1"/>
  <c r="B47" i="8" s="1"/>
  <c r="B50" i="8" s="1"/>
  <c r="B53" i="8" s="1"/>
  <c r="N28" i="8"/>
  <c r="N29" i="8" s="1"/>
  <c r="D24" i="9"/>
  <c r="G24" i="9" s="1"/>
  <c r="D13" i="9"/>
  <c r="V13" i="9"/>
  <c r="V7" i="9"/>
  <c r="F30" i="7"/>
  <c r="U10" i="9"/>
  <c r="W13" i="9"/>
  <c r="W10" i="9"/>
  <c r="G30" i="7"/>
  <c r="X10" i="9"/>
  <c r="D7" i="7"/>
  <c r="G7" i="7" s="1"/>
  <c r="I19" i="7"/>
  <c r="C20" i="7"/>
  <c r="D19" i="7"/>
  <c r="D22" i="7"/>
  <c r="G22" i="7" s="1"/>
  <c r="F3" i="8"/>
  <c r="F5" i="8" s="1"/>
  <c r="D21" i="7"/>
  <c r="D24" i="7"/>
  <c r="C21" i="7"/>
  <c r="W19" i="9" s="1"/>
  <c r="C22" i="7"/>
  <c r="F22" i="7" s="1"/>
  <c r="F12" i="7"/>
  <c r="C6" i="7"/>
  <c r="F6" i="7" s="1"/>
  <c r="E51" i="6"/>
  <c r="I51" i="6" s="1"/>
  <c r="E47" i="6"/>
  <c r="B56" i="8" l="1"/>
  <c r="B59" i="8" s="1"/>
  <c r="B62" i="8" s="1"/>
  <c r="B65" i="8" s="1"/>
  <c r="B68" i="8" s="1"/>
  <c r="B71" i="8" s="1"/>
  <c r="B74" i="8" s="1"/>
  <c r="F20" i="7"/>
  <c r="U19" i="9"/>
  <c r="G21" i="7"/>
  <c r="X19" i="9"/>
  <c r="G19" i="7"/>
  <c r="X22" i="9"/>
  <c r="Z22" i="9" s="1"/>
  <c r="D15" i="9"/>
  <c r="G15" i="9" s="1"/>
  <c r="G13" i="9"/>
  <c r="F21" i="7"/>
  <c r="D54" i="7"/>
  <c r="G24" i="7"/>
  <c r="F4" i="8"/>
  <c r="F6" i="8" s="1"/>
  <c r="F7" i="8"/>
  <c r="V16" i="9"/>
  <c r="X7" i="9"/>
  <c r="U7" i="9"/>
  <c r="U13" i="9"/>
  <c r="AA13" i="9" s="1"/>
  <c r="C9" i="9" s="1"/>
  <c r="F9" i="9" s="1"/>
  <c r="W16" i="9"/>
  <c r="W7" i="9"/>
  <c r="U16" i="9"/>
  <c r="AA16" i="9" s="1"/>
  <c r="C10" i="9" s="1"/>
  <c r="F10" i="9" s="1"/>
  <c r="D31" i="7"/>
  <c r="G31" i="7" s="1"/>
  <c r="X16" i="9"/>
  <c r="D25" i="9"/>
  <c r="G25" i="9" s="1"/>
  <c r="X13" i="9"/>
  <c r="V10" i="9"/>
  <c r="Y10" i="9" s="1"/>
  <c r="J20" i="7"/>
  <c r="I20" i="7"/>
  <c r="J22" i="7"/>
  <c r="J19" i="7"/>
  <c r="K19" i="7" s="1"/>
  <c r="C13" i="7"/>
  <c r="I22" i="7"/>
  <c r="I21" i="7"/>
  <c r="C16" i="7"/>
  <c r="F16" i="7" s="1"/>
  <c r="D28" i="7"/>
  <c r="G28" i="7" s="1"/>
  <c r="D25" i="7"/>
  <c r="G25" i="7" s="1"/>
  <c r="J21" i="7"/>
  <c r="F31" i="7"/>
  <c r="C7" i="7"/>
  <c r="F7" i="7" s="1"/>
  <c r="C10" i="7"/>
  <c r="F10" i="7" s="1"/>
  <c r="E46" i="6"/>
  <c r="E49" i="6"/>
  <c r="I49" i="6" s="1"/>
  <c r="I47" i="6"/>
  <c r="E48" i="6"/>
  <c r="I48" i="6" s="1"/>
  <c r="E44" i="6"/>
  <c r="E53" i="6" s="1"/>
  <c r="I53" i="6" s="1"/>
  <c r="C33" i="7"/>
  <c r="F33" i="7" s="1"/>
  <c r="F13" i="7" l="1"/>
  <c r="C14" i="7"/>
  <c r="Y19" i="9"/>
  <c r="Z19" i="9"/>
  <c r="Y22" i="9"/>
  <c r="D55" i="7"/>
  <c r="AJ52" i="8"/>
  <c r="G54" i="7"/>
  <c r="B77" i="8"/>
  <c r="B80" i="8" s="1"/>
  <c r="B83" i="8" s="1"/>
  <c r="B86" i="8" s="1"/>
  <c r="B89" i="8" s="1"/>
  <c r="Z7" i="9"/>
  <c r="Y7" i="9"/>
  <c r="D34" i="7"/>
  <c r="G34" i="7" s="1"/>
  <c r="J31" i="7"/>
  <c r="D32" i="7"/>
  <c r="G32" i="7" s="1"/>
  <c r="Z10" i="9"/>
  <c r="K20" i="7"/>
  <c r="I45" i="6" s="1"/>
  <c r="K22" i="7"/>
  <c r="I7" i="7"/>
  <c r="I13" i="7"/>
  <c r="K21" i="7"/>
  <c r="D8" i="7"/>
  <c r="D134" i="8" s="1"/>
  <c r="D26" i="7"/>
  <c r="G13" i="7"/>
  <c r="J25" i="7"/>
  <c r="I31" i="7"/>
  <c r="C32" i="7"/>
  <c r="F32" i="7" s="1"/>
  <c r="C8" i="7"/>
  <c r="C134" i="8" s="1"/>
  <c r="C34" i="7"/>
  <c r="F34" i="7" s="1"/>
  <c r="C25" i="7" l="1"/>
  <c r="C24" i="7"/>
  <c r="C28" i="7" s="1"/>
  <c r="F28" i="7" s="1"/>
  <c r="C101" i="8"/>
  <c r="C104" i="8" s="1"/>
  <c r="F104" i="8" s="1"/>
  <c r="F14" i="7"/>
  <c r="J26" i="7"/>
  <c r="G26" i="7"/>
  <c r="AJ136" i="8"/>
  <c r="AJ133" i="8"/>
  <c r="G8" i="7"/>
  <c r="AI136" i="8"/>
  <c r="AI133" i="8"/>
  <c r="F8" i="7"/>
  <c r="D56" i="7"/>
  <c r="D55" i="8"/>
  <c r="AL52" i="8"/>
  <c r="G55" i="7"/>
  <c r="B92" i="8"/>
  <c r="B95" i="8" s="1"/>
  <c r="B98" i="8" s="1"/>
  <c r="B101" i="8" s="1"/>
  <c r="B104" i="8" s="1"/>
  <c r="B107" i="8" s="1"/>
  <c r="B110" i="8" s="1"/>
  <c r="B113" i="8" s="1"/>
  <c r="B116" i="8" s="1"/>
  <c r="B119" i="8" s="1"/>
  <c r="B122" i="8" s="1"/>
  <c r="B125" i="8" s="1"/>
  <c r="D33" i="7"/>
  <c r="G33" i="7" s="1"/>
  <c r="J32" i="7"/>
  <c r="G6" i="7"/>
  <c r="G12" i="7"/>
  <c r="K31" i="7"/>
  <c r="F44" i="6" s="1"/>
  <c r="C131" i="8"/>
  <c r="J8" i="7"/>
  <c r="F101" i="8"/>
  <c r="C98" i="8"/>
  <c r="F98" i="8" s="1"/>
  <c r="I33" i="7"/>
  <c r="C15" i="7"/>
  <c r="F15" i="7" s="1"/>
  <c r="I14" i="7"/>
  <c r="I8" i="7"/>
  <c r="D27" i="7"/>
  <c r="D14" i="7"/>
  <c r="G14" i="7" s="1"/>
  <c r="I32" i="7"/>
  <c r="C9" i="7"/>
  <c r="AK127" i="8" s="1"/>
  <c r="I34" i="7"/>
  <c r="F25" i="7" l="1"/>
  <c r="C26" i="7"/>
  <c r="B128" i="8"/>
  <c r="B131" i="8" s="1"/>
  <c r="B134" i="8" s="1"/>
  <c r="B137" i="8" s="1"/>
  <c r="B140" i="8" s="1"/>
  <c r="B143" i="8" s="1"/>
  <c r="B146" i="8" s="1"/>
  <c r="AK133" i="8"/>
  <c r="AI127" i="8"/>
  <c r="AM127" i="8" s="1"/>
  <c r="AL133" i="8"/>
  <c r="AJ127" i="8"/>
  <c r="F134" i="8"/>
  <c r="F131" i="8"/>
  <c r="C27" i="7"/>
  <c r="F27" i="7" s="1"/>
  <c r="AK136" i="8"/>
  <c r="AM136" i="8" s="1"/>
  <c r="F9" i="7"/>
  <c r="C54" i="7"/>
  <c r="F24" i="7"/>
  <c r="D36" i="7"/>
  <c r="D37" i="7" s="1"/>
  <c r="J37" i="7" s="1"/>
  <c r="G27" i="7"/>
  <c r="D58" i="8"/>
  <c r="AJ55" i="8"/>
  <c r="AL55" i="8" s="1"/>
  <c r="G55" i="8"/>
  <c r="D57" i="7"/>
  <c r="AJ79" i="8"/>
  <c r="AJ76" i="8"/>
  <c r="AL76" i="8" s="1"/>
  <c r="G56" i="7"/>
  <c r="D67" i="8"/>
  <c r="I25" i="7"/>
  <c r="K25" i="7" s="1"/>
  <c r="I46" i="6" s="1"/>
  <c r="J13" i="7"/>
  <c r="K13" i="7" s="1"/>
  <c r="F43" i="6" s="1"/>
  <c r="I43" i="6" s="1"/>
  <c r="D15" i="7"/>
  <c r="G15" i="7" s="1"/>
  <c r="K32" i="7"/>
  <c r="D16" i="7"/>
  <c r="G16" i="7" s="1"/>
  <c r="J33" i="7"/>
  <c r="K33" i="7" s="1"/>
  <c r="J34" i="7"/>
  <c r="K34" i="7" s="1"/>
  <c r="G113" i="8"/>
  <c r="J7" i="7"/>
  <c r="K7" i="7" s="1"/>
  <c r="F42" i="6" s="1"/>
  <c r="I42" i="6" s="1"/>
  <c r="D9" i="7"/>
  <c r="AL127" i="8" s="1"/>
  <c r="D10" i="7"/>
  <c r="G10" i="7" s="1"/>
  <c r="J27" i="7"/>
  <c r="K8" i="7"/>
  <c r="I16" i="7"/>
  <c r="I15" i="7"/>
  <c r="I44" i="6"/>
  <c r="J14" i="7"/>
  <c r="K14" i="7" s="1"/>
  <c r="F122" i="8"/>
  <c r="J28" i="7"/>
  <c r="I10" i="7"/>
  <c r="I9" i="7"/>
  <c r="F26" i="7" l="1"/>
  <c r="I26" i="7"/>
  <c r="K26" i="7" s="1"/>
  <c r="AM133" i="8"/>
  <c r="AN133" i="8" s="1"/>
  <c r="AN127" i="8"/>
  <c r="AO128" i="8"/>
  <c r="I28" i="7"/>
  <c r="K28" i="7" s="1"/>
  <c r="C36" i="7"/>
  <c r="U6" i="9" s="1"/>
  <c r="U9" i="9" s="1"/>
  <c r="I27" i="7"/>
  <c r="K27" i="7" s="1"/>
  <c r="V6" i="9"/>
  <c r="V9" i="9" s="1"/>
  <c r="D40" i="7"/>
  <c r="G40" i="7" s="1"/>
  <c r="AJ67" i="8"/>
  <c r="AL67" i="8" s="1"/>
  <c r="D70" i="8"/>
  <c r="G67" i="8"/>
  <c r="AL29" i="8"/>
  <c r="G36" i="7"/>
  <c r="AJ29" i="8"/>
  <c r="G37" i="7"/>
  <c r="C55" i="7"/>
  <c r="F54" i="7"/>
  <c r="AI52" i="8"/>
  <c r="D44" i="8"/>
  <c r="D47" i="8" s="1"/>
  <c r="D89" i="8"/>
  <c r="D41" i="8"/>
  <c r="AL79" i="8"/>
  <c r="G57" i="7"/>
  <c r="AL136" i="8"/>
  <c r="G9" i="7"/>
  <c r="AN136" i="8"/>
  <c r="AO137" i="8"/>
  <c r="G58" i="8"/>
  <c r="D61" i="8"/>
  <c r="D58" i="7"/>
  <c r="G58" i="7" s="1"/>
  <c r="J55" i="7"/>
  <c r="D38" i="7"/>
  <c r="D42" i="7"/>
  <c r="G42" i="7" s="1"/>
  <c r="X6" i="9"/>
  <c r="X9" i="9" s="1"/>
  <c r="D110" i="8"/>
  <c r="G110" i="8" s="1"/>
  <c r="J15" i="7"/>
  <c r="K15" i="7" s="1"/>
  <c r="J16" i="7"/>
  <c r="K16" i="7" s="1"/>
  <c r="J9" i="7"/>
  <c r="K9" i="7" s="1"/>
  <c r="J10" i="7"/>
  <c r="K10" i="7" s="1"/>
  <c r="I56" i="6"/>
  <c r="D37" i="6" s="1"/>
  <c r="F37" i="6" s="1"/>
  <c r="D116" i="8"/>
  <c r="C128" i="8" l="1"/>
  <c r="F128" i="8" s="1"/>
  <c r="F36" i="7"/>
  <c r="AK29" i="8"/>
  <c r="C37" i="7"/>
  <c r="AI29" i="8" s="1"/>
  <c r="G89" i="8"/>
  <c r="D86" i="8"/>
  <c r="G86" i="8" s="1"/>
  <c r="C137" i="8"/>
  <c r="F137" i="8" s="1"/>
  <c r="AJ134" i="8"/>
  <c r="T15" i="7"/>
  <c r="D115" i="8"/>
  <c r="D118" i="8" s="1"/>
  <c r="G38" i="7"/>
  <c r="D73" i="8"/>
  <c r="G70" i="8"/>
  <c r="D64" i="8"/>
  <c r="G61" i="8"/>
  <c r="C56" i="7"/>
  <c r="C55" i="8"/>
  <c r="AK52" i="8"/>
  <c r="AM52" i="8" s="1"/>
  <c r="F55" i="7"/>
  <c r="D39" i="7"/>
  <c r="AL31" i="8"/>
  <c r="J38" i="7"/>
  <c r="D43" i="7"/>
  <c r="D46" i="7"/>
  <c r="G46" i="7" s="1"/>
  <c r="J56" i="7"/>
  <c r="D119" i="8"/>
  <c r="G116" i="8"/>
  <c r="C42" i="7" l="1"/>
  <c r="F42" i="7" s="1"/>
  <c r="C38" i="7"/>
  <c r="S15" i="7" s="1"/>
  <c r="W6" i="9"/>
  <c r="W9" i="9" s="1"/>
  <c r="F37" i="7"/>
  <c r="I115" i="8"/>
  <c r="K115" i="8" s="1"/>
  <c r="AE115" i="8" s="1"/>
  <c r="G115" i="8"/>
  <c r="AJ64" i="8"/>
  <c r="AL64" i="8" s="1"/>
  <c r="G64" i="8"/>
  <c r="AO53" i="8"/>
  <c r="AN52" i="8"/>
  <c r="G73" i="8"/>
  <c r="D76" i="8"/>
  <c r="C57" i="7"/>
  <c r="AI79" i="8"/>
  <c r="AI76" i="8"/>
  <c r="AK76" i="8" s="1"/>
  <c r="AM76" i="8" s="1"/>
  <c r="AN76" i="8" s="1"/>
  <c r="F56" i="7"/>
  <c r="C67" i="8"/>
  <c r="J39" i="7"/>
  <c r="T16" i="7"/>
  <c r="V16" i="7" s="1"/>
  <c r="AL134" i="8"/>
  <c r="G39" i="7"/>
  <c r="D48" i="7"/>
  <c r="AJ40" i="8"/>
  <c r="D25" i="8"/>
  <c r="AJ68" i="8"/>
  <c r="AJ65" i="8"/>
  <c r="G43" i="7"/>
  <c r="AI55" i="8"/>
  <c r="AK55" i="8" s="1"/>
  <c r="AM55" i="8" s="1"/>
  <c r="AN55" i="8" s="1"/>
  <c r="C58" i="8"/>
  <c r="F55" i="8"/>
  <c r="D121" i="8"/>
  <c r="G118" i="8"/>
  <c r="J43" i="7"/>
  <c r="V12" i="9"/>
  <c r="V15" i="9" s="1"/>
  <c r="D44" i="7"/>
  <c r="J40" i="7"/>
  <c r="D12" i="9"/>
  <c r="G12" i="9" s="1"/>
  <c r="AJ31" i="8"/>
  <c r="G119" i="8"/>
  <c r="I118" i="8"/>
  <c r="K118" i="8" s="1"/>
  <c r="AI134" i="8" l="1"/>
  <c r="C39" i="7"/>
  <c r="S16" i="7" s="1"/>
  <c r="Z6" i="9"/>
  <c r="Y6" i="9"/>
  <c r="C115" i="8"/>
  <c r="F38" i="7"/>
  <c r="C43" i="7"/>
  <c r="C48" i="7" s="1"/>
  <c r="C49" i="7" s="1"/>
  <c r="K116" i="8"/>
  <c r="K117" i="8" s="1"/>
  <c r="AE117" i="8" s="1"/>
  <c r="C70" i="8"/>
  <c r="AI67" i="8"/>
  <c r="AK67" i="8" s="1"/>
  <c r="AM67" i="8" s="1"/>
  <c r="AN67" i="8" s="1"/>
  <c r="F67" i="8"/>
  <c r="G25" i="8"/>
  <c r="C61" i="8"/>
  <c r="F58" i="8"/>
  <c r="D49" i="7"/>
  <c r="AJ56" i="8"/>
  <c r="G48" i="7"/>
  <c r="AK79" i="8"/>
  <c r="AM79" i="8" s="1"/>
  <c r="AN79" i="8" s="1"/>
  <c r="AO80" i="8" s="1"/>
  <c r="F57" i="7"/>
  <c r="AL68" i="8"/>
  <c r="AL40" i="8"/>
  <c r="AL65" i="8"/>
  <c r="G44" i="7"/>
  <c r="G76" i="8"/>
  <c r="D124" i="8"/>
  <c r="G121" i="8"/>
  <c r="D45" i="7"/>
  <c r="J44" i="7"/>
  <c r="Z9" i="9"/>
  <c r="Y9" i="9"/>
  <c r="K119" i="8"/>
  <c r="AE118" i="8"/>
  <c r="C116" i="8" l="1"/>
  <c r="F115" i="8"/>
  <c r="AK134" i="8"/>
  <c r="AM134" i="8" s="1"/>
  <c r="C118" i="8"/>
  <c r="F39" i="7"/>
  <c r="AA7" i="9"/>
  <c r="AB7" i="9" s="1"/>
  <c r="D6" i="9" s="1"/>
  <c r="G6" i="9" s="1"/>
  <c r="AI56" i="8"/>
  <c r="AI65" i="8"/>
  <c r="F48" i="7"/>
  <c r="AI40" i="8"/>
  <c r="C44" i="7"/>
  <c r="AK65" i="8" s="1"/>
  <c r="C25" i="8"/>
  <c r="F43" i="7"/>
  <c r="AI68" i="8"/>
  <c r="AE116" i="8"/>
  <c r="D60" i="7"/>
  <c r="V18" i="9" s="1"/>
  <c r="V21" i="9" s="1"/>
  <c r="G45" i="7"/>
  <c r="C50" i="7"/>
  <c r="AK56" i="8"/>
  <c r="C43" i="8"/>
  <c r="F49" i="7"/>
  <c r="F61" i="8"/>
  <c r="C64" i="8"/>
  <c r="D50" i="7"/>
  <c r="AL56" i="8"/>
  <c r="D43" i="8"/>
  <c r="G49" i="7"/>
  <c r="C80" i="8"/>
  <c r="F70" i="8"/>
  <c r="C73" i="8"/>
  <c r="J45" i="7"/>
  <c r="J46" i="7"/>
  <c r="X12" i="9"/>
  <c r="X15" i="9" s="1"/>
  <c r="AA10" i="9"/>
  <c r="AE119" i="8"/>
  <c r="K120" i="8"/>
  <c r="AE120" i="8" s="1"/>
  <c r="O117" i="8" l="1"/>
  <c r="O118" i="8" s="1"/>
  <c r="O119" i="8" s="1"/>
  <c r="C119" i="8"/>
  <c r="H118" i="8" s="1"/>
  <c r="H115" i="8"/>
  <c r="J115" i="8" s="1"/>
  <c r="J116" i="8" s="1"/>
  <c r="J117" i="8" s="1"/>
  <c r="F116" i="8"/>
  <c r="C121" i="8"/>
  <c r="C124" i="8" s="1"/>
  <c r="F118" i="8"/>
  <c r="AN134" i="8"/>
  <c r="AO134" i="8" s="1"/>
  <c r="AN65" i="8"/>
  <c r="C6" i="9"/>
  <c r="F6" i="9" s="1"/>
  <c r="AK68" i="8"/>
  <c r="AN68" i="8" s="1"/>
  <c r="AK40" i="8"/>
  <c r="AM40" i="8" s="1"/>
  <c r="C45" i="7"/>
  <c r="C60" i="7" s="1"/>
  <c r="U18" i="9" s="1"/>
  <c r="U21" i="9" s="1"/>
  <c r="F44" i="7"/>
  <c r="C51" i="7"/>
  <c r="C31" i="8"/>
  <c r="AK30" i="8"/>
  <c r="F50" i="7"/>
  <c r="AJ77" i="8"/>
  <c r="D64" i="7"/>
  <c r="G64" i="7" s="1"/>
  <c r="G60" i="7"/>
  <c r="D61" i="7"/>
  <c r="D88" i="8" s="1"/>
  <c r="AM56" i="8"/>
  <c r="AN56" i="8"/>
  <c r="F80" i="8"/>
  <c r="C83" i="8"/>
  <c r="F83" i="8" s="1"/>
  <c r="F73" i="8"/>
  <c r="C76" i="8"/>
  <c r="D51" i="7"/>
  <c r="D31" i="8"/>
  <c r="AL30" i="8"/>
  <c r="G50" i="7"/>
  <c r="AM65" i="8"/>
  <c r="C46" i="8"/>
  <c r="F43" i="8"/>
  <c r="C44" i="8"/>
  <c r="C47" i="8" s="1"/>
  <c r="AI64" i="8"/>
  <c r="AK64" i="8" s="1"/>
  <c r="AM64" i="8" s="1"/>
  <c r="AN64" i="8" s="1"/>
  <c r="F64" i="8"/>
  <c r="D46" i="8"/>
  <c r="G43" i="8"/>
  <c r="D52" i="7"/>
  <c r="G52" i="7" s="1"/>
  <c r="AB10" i="9"/>
  <c r="D7" i="9" s="1"/>
  <c r="C7" i="9"/>
  <c r="F7" i="9" s="1"/>
  <c r="J61" i="7" l="1"/>
  <c r="X18" i="9"/>
  <c r="D16" i="9"/>
  <c r="G16" i="9" s="1"/>
  <c r="G7" i="9"/>
  <c r="H121" i="8"/>
  <c r="J121" i="8" s="1"/>
  <c r="J122" i="8" s="1"/>
  <c r="J123" i="8" s="1"/>
  <c r="D125" i="8"/>
  <c r="G125" i="8" s="1"/>
  <c r="F121" i="8"/>
  <c r="J118" i="8"/>
  <c r="J119" i="8" s="1"/>
  <c r="J120" i="8" s="1"/>
  <c r="M120" i="8"/>
  <c r="O48" i="8"/>
  <c r="O49" i="8" s="1"/>
  <c r="O50" i="8" s="1"/>
  <c r="F124" i="8"/>
  <c r="O120" i="8"/>
  <c r="O121" i="8" s="1"/>
  <c r="O122" i="8" s="1"/>
  <c r="O45" i="8"/>
  <c r="O46" i="8" s="1"/>
  <c r="O47" i="8" s="1"/>
  <c r="F119" i="8"/>
  <c r="AP134" i="8"/>
  <c r="D133" i="8" s="1"/>
  <c r="G133" i="8" s="1"/>
  <c r="C133" i="8"/>
  <c r="AM68" i="8"/>
  <c r="AO68" i="8" s="1"/>
  <c r="C68" i="8" s="1"/>
  <c r="AN40" i="8"/>
  <c r="F45" i="7"/>
  <c r="AO65" i="8"/>
  <c r="AP65" i="8" s="1"/>
  <c r="D65" i="8" s="1"/>
  <c r="AO56" i="8"/>
  <c r="AP56" i="8" s="1"/>
  <c r="D56" i="8" s="1"/>
  <c r="G31" i="8"/>
  <c r="D34" i="8"/>
  <c r="AJ32" i="8"/>
  <c r="F76" i="8"/>
  <c r="D62" i="7"/>
  <c r="J62" i="7" s="1"/>
  <c r="AL77" i="8"/>
  <c r="G61" i="7"/>
  <c r="AI30" i="8"/>
  <c r="C26" i="8"/>
  <c r="F51" i="7"/>
  <c r="AJ30" i="8"/>
  <c r="D26" i="8"/>
  <c r="G51" i="7"/>
  <c r="AI77" i="8"/>
  <c r="C64" i="7"/>
  <c r="F60" i="7"/>
  <c r="C61" i="7"/>
  <c r="C52" i="8"/>
  <c r="F46" i="8"/>
  <c r="C49" i="8"/>
  <c r="D49" i="8"/>
  <c r="G46" i="8"/>
  <c r="D52" i="8"/>
  <c r="AJ53" i="8" s="1"/>
  <c r="AL53" i="8" s="1"/>
  <c r="I37" i="7"/>
  <c r="K37" i="7" s="1"/>
  <c r="C40" i="7"/>
  <c r="F40" i="7" s="1"/>
  <c r="W18" i="9" l="1"/>
  <c r="W21" i="9" s="1"/>
  <c r="C88" i="8"/>
  <c r="X21" i="9"/>
  <c r="D122" i="8"/>
  <c r="O123" i="8" s="1"/>
  <c r="O124" i="8" s="1"/>
  <c r="O125" i="8" s="1"/>
  <c r="F49" i="8"/>
  <c r="C136" i="8"/>
  <c r="AI137" i="8" s="1"/>
  <c r="AK137" i="8" s="1"/>
  <c r="M121" i="8"/>
  <c r="M122" i="8" s="1"/>
  <c r="F133" i="8"/>
  <c r="H133" i="8"/>
  <c r="D136" i="8"/>
  <c r="AJ137" i="8" s="1"/>
  <c r="AL137" i="8" s="1"/>
  <c r="AP68" i="8"/>
  <c r="D68" i="8" s="1"/>
  <c r="D71" i="8" s="1"/>
  <c r="C56" i="8"/>
  <c r="AM30" i="8"/>
  <c r="C65" i="8"/>
  <c r="G26" i="8"/>
  <c r="I25" i="8"/>
  <c r="K25" i="8" s="1"/>
  <c r="AN30" i="8"/>
  <c r="D62" i="8"/>
  <c r="G65" i="8"/>
  <c r="I64" i="8"/>
  <c r="K64" i="8" s="1"/>
  <c r="AI53" i="8"/>
  <c r="F52" i="8"/>
  <c r="AJ41" i="8"/>
  <c r="AL41" i="8" s="1"/>
  <c r="AL32" i="8"/>
  <c r="G34" i="8"/>
  <c r="D37" i="8"/>
  <c r="D82" i="8"/>
  <c r="G88" i="8"/>
  <c r="D85" i="8"/>
  <c r="I88" i="8"/>
  <c r="K88" i="8" s="1"/>
  <c r="D59" i="8"/>
  <c r="I55" i="8"/>
  <c r="K55" i="8" s="1"/>
  <c r="G56" i="8"/>
  <c r="F64" i="7"/>
  <c r="F61" i="7"/>
  <c r="C62" i="7"/>
  <c r="AK77" i="8"/>
  <c r="AM77" i="8" s="1"/>
  <c r="L60" i="7"/>
  <c r="M60" i="7" s="1"/>
  <c r="I61" i="7"/>
  <c r="K61" i="7" s="1"/>
  <c r="D91" i="8"/>
  <c r="D63" i="7"/>
  <c r="J63" i="7" s="1"/>
  <c r="G62" i="7"/>
  <c r="C71" i="8"/>
  <c r="F68" i="8"/>
  <c r="H67" i="8"/>
  <c r="G49" i="8"/>
  <c r="G52" i="8"/>
  <c r="L36" i="7"/>
  <c r="M36" i="7" s="1"/>
  <c r="Z18" i="9" l="1"/>
  <c r="Y18" i="9"/>
  <c r="Z21" i="9"/>
  <c r="Y21" i="9"/>
  <c r="I121" i="8"/>
  <c r="K121" i="8" s="1"/>
  <c r="AE121" i="8" s="1"/>
  <c r="G122" i="8"/>
  <c r="F136" i="8"/>
  <c r="H136" i="8"/>
  <c r="J136" i="8" s="1"/>
  <c r="J137" i="8" s="1"/>
  <c r="J138" i="8" s="1"/>
  <c r="O72" i="8"/>
  <c r="O73" i="8" s="1"/>
  <c r="O74" i="8" s="1"/>
  <c r="C62" i="8"/>
  <c r="O63" i="8" s="1"/>
  <c r="O64" i="8" s="1"/>
  <c r="O65" i="8" s="1"/>
  <c r="O66" i="8"/>
  <c r="O67" i="8" s="1"/>
  <c r="O68" i="8" s="1"/>
  <c r="H55" i="8"/>
  <c r="J55" i="8" s="1"/>
  <c r="J56" i="8" s="1"/>
  <c r="J57" i="8" s="1"/>
  <c r="O57" i="8"/>
  <c r="O58" i="8" s="1"/>
  <c r="O59" i="8" s="1"/>
  <c r="J133" i="8"/>
  <c r="J134" i="8" s="1"/>
  <c r="J135" i="8" s="1"/>
  <c r="O69" i="8"/>
  <c r="O70" i="8" s="1"/>
  <c r="O71" i="8" s="1"/>
  <c r="G136" i="8"/>
  <c r="I67" i="8"/>
  <c r="K67" i="8" s="1"/>
  <c r="AE67" i="8" s="1"/>
  <c r="G68" i="8"/>
  <c r="H64" i="8"/>
  <c r="F65" i="8"/>
  <c r="F56" i="8"/>
  <c r="C59" i="8"/>
  <c r="K26" i="8"/>
  <c r="AE25" i="8"/>
  <c r="K89" i="8"/>
  <c r="AE88" i="8"/>
  <c r="C63" i="7"/>
  <c r="I63" i="7" s="1"/>
  <c r="K63" i="7" s="1"/>
  <c r="C91" i="8"/>
  <c r="L61" i="7"/>
  <c r="M61" i="7" s="1"/>
  <c r="F62" i="7"/>
  <c r="G85" i="8"/>
  <c r="I85" i="8"/>
  <c r="K85" i="8" s="1"/>
  <c r="C82" i="8"/>
  <c r="F88" i="8"/>
  <c r="C85" i="8"/>
  <c r="C89" i="8"/>
  <c r="O90" i="8" s="1"/>
  <c r="O91" i="8" s="1"/>
  <c r="O92" i="8" s="1"/>
  <c r="F71" i="8"/>
  <c r="H70" i="8"/>
  <c r="G82" i="8"/>
  <c r="D79" i="8"/>
  <c r="AN77" i="8"/>
  <c r="AO77" i="8" s="1"/>
  <c r="J67" i="8"/>
  <c r="J68" i="8" s="1"/>
  <c r="J69" i="8" s="1"/>
  <c r="D103" i="8"/>
  <c r="G63" i="7"/>
  <c r="J64" i="7"/>
  <c r="AN137" i="8"/>
  <c r="AM137" i="8"/>
  <c r="K65" i="8"/>
  <c r="AE64" i="8"/>
  <c r="D40" i="8"/>
  <c r="G40" i="8" s="1"/>
  <c r="G37" i="8"/>
  <c r="K56" i="8"/>
  <c r="AE55" i="8"/>
  <c r="G71" i="8"/>
  <c r="I70" i="8"/>
  <c r="K70" i="8" s="1"/>
  <c r="I62" i="7"/>
  <c r="K62" i="7" s="1"/>
  <c r="G59" i="8"/>
  <c r="I58" i="8"/>
  <c r="K58" i="8" s="1"/>
  <c r="G62" i="8"/>
  <c r="I61" i="8"/>
  <c r="K61" i="8" s="1"/>
  <c r="AK31" i="8"/>
  <c r="I38" i="7"/>
  <c r="K38" i="7" s="1"/>
  <c r="U16" i="7"/>
  <c r="L37" i="7"/>
  <c r="M37" i="7" s="1"/>
  <c r="AA19" i="9" l="1"/>
  <c r="AB19" i="9" s="1"/>
  <c r="D18" i="9" s="1"/>
  <c r="G18" i="9" s="1"/>
  <c r="AA22" i="9"/>
  <c r="AB22" i="9" s="1"/>
  <c r="D19" i="9" s="1"/>
  <c r="G19" i="9" s="1"/>
  <c r="M123" i="8"/>
  <c r="M124" i="8" s="1"/>
  <c r="M125" i="8" s="1"/>
  <c r="F62" i="8"/>
  <c r="H61" i="8"/>
  <c r="M66" i="8" s="1"/>
  <c r="P57" i="8"/>
  <c r="K122" i="8"/>
  <c r="AE122" i="8" s="1"/>
  <c r="M72" i="8"/>
  <c r="M69" i="8"/>
  <c r="M70" i="8" s="1"/>
  <c r="M71" i="8" s="1"/>
  <c r="F59" i="8"/>
  <c r="O60" i="8"/>
  <c r="O61" i="8" s="1"/>
  <c r="O62" i="8" s="1"/>
  <c r="J64" i="8"/>
  <c r="J65" i="8" s="1"/>
  <c r="J66" i="8" s="1"/>
  <c r="K68" i="8"/>
  <c r="AE68" i="8" s="1"/>
  <c r="P69" i="8"/>
  <c r="P66" i="8"/>
  <c r="P59" i="8"/>
  <c r="H58" i="8"/>
  <c r="M60" i="8" s="1"/>
  <c r="H88" i="8"/>
  <c r="AE26" i="8"/>
  <c r="K27" i="8"/>
  <c r="AE27" i="8" s="1"/>
  <c r="AP137" i="8"/>
  <c r="D137" i="8" s="1"/>
  <c r="C79" i="8"/>
  <c r="F82" i="8"/>
  <c r="H82" i="8"/>
  <c r="G79" i="8"/>
  <c r="AJ80" i="8"/>
  <c r="AL80" i="8" s="1"/>
  <c r="K86" i="8"/>
  <c r="AE85" i="8"/>
  <c r="P70" i="8"/>
  <c r="P71" i="8"/>
  <c r="K57" i="8"/>
  <c r="AE57" i="8" s="1"/>
  <c r="AE56" i="8"/>
  <c r="AP77" i="8"/>
  <c r="D77" i="8" s="1"/>
  <c r="C77" i="8"/>
  <c r="K59" i="8"/>
  <c r="AE58" i="8"/>
  <c r="P90" i="8"/>
  <c r="AE70" i="8"/>
  <c r="K71" i="8"/>
  <c r="P67" i="8"/>
  <c r="P68" i="8"/>
  <c r="C86" i="8"/>
  <c r="F86" i="8" s="1"/>
  <c r="F89" i="8"/>
  <c r="K90" i="8"/>
  <c r="AE90" i="8" s="1"/>
  <c r="AE89" i="8"/>
  <c r="K62" i="8"/>
  <c r="AE61" i="8"/>
  <c r="J70" i="8"/>
  <c r="J71" i="8" s="1"/>
  <c r="J72" i="8" s="1"/>
  <c r="F85" i="8"/>
  <c r="P63" i="8"/>
  <c r="K66" i="8"/>
  <c r="AE66" i="8" s="1"/>
  <c r="AE65" i="8"/>
  <c r="P72" i="8"/>
  <c r="C103" i="8"/>
  <c r="F63" i="7"/>
  <c r="I64" i="7"/>
  <c r="K64" i="7" s="1"/>
  <c r="L62" i="7"/>
  <c r="M62" i="7" s="1"/>
  <c r="L63" i="7"/>
  <c r="M63" i="7" s="1"/>
  <c r="C12" i="9"/>
  <c r="F12" i="9" s="1"/>
  <c r="C13" i="9"/>
  <c r="F13" i="9" s="1"/>
  <c r="S39" i="7"/>
  <c r="T39" i="7" s="1"/>
  <c r="F25" i="8"/>
  <c r="I39" i="7"/>
  <c r="K39" i="7" s="1"/>
  <c r="L39" i="7"/>
  <c r="M39" i="7" s="1"/>
  <c r="I40" i="7"/>
  <c r="K40" i="7" s="1"/>
  <c r="T40" i="7"/>
  <c r="S43" i="7" s="1"/>
  <c r="L38" i="7"/>
  <c r="C46" i="7"/>
  <c r="I43" i="7"/>
  <c r="K43" i="7" s="1"/>
  <c r="X16" i="7"/>
  <c r="W16" i="7"/>
  <c r="C18" i="9" l="1"/>
  <c r="F18" i="9" s="1"/>
  <c r="C19" i="9"/>
  <c r="F19" i="9" s="1"/>
  <c r="Q68" i="8"/>
  <c r="Q67" i="8"/>
  <c r="Q59" i="8"/>
  <c r="Q66" i="8"/>
  <c r="Q71" i="8"/>
  <c r="Q69" i="8"/>
  <c r="Q57" i="8"/>
  <c r="Q63" i="8"/>
  <c r="Q72" i="8"/>
  <c r="Q90" i="8"/>
  <c r="Q70" i="8"/>
  <c r="J61" i="8"/>
  <c r="J62" i="8" s="1"/>
  <c r="J63" i="8" s="1"/>
  <c r="K123" i="8"/>
  <c r="AE123" i="8" s="1"/>
  <c r="O78" i="8"/>
  <c r="O79" i="8" s="1"/>
  <c r="O80" i="8" s="1"/>
  <c r="M67" i="8"/>
  <c r="M68" i="8" s="1"/>
  <c r="J88" i="8"/>
  <c r="J89" i="8" s="1"/>
  <c r="J90" i="8" s="1"/>
  <c r="O87" i="8"/>
  <c r="O88" i="8" s="1"/>
  <c r="O89" i="8" s="1"/>
  <c r="P60" i="8"/>
  <c r="M63" i="8"/>
  <c r="M61" i="8"/>
  <c r="M62" i="8" s="1"/>
  <c r="I136" i="8"/>
  <c r="K136" i="8" s="1"/>
  <c r="O138" i="8"/>
  <c r="D7" i="8" s="1"/>
  <c r="D22" i="6" s="1"/>
  <c r="M73" i="8"/>
  <c r="M74" i="8" s="1"/>
  <c r="K69" i="8"/>
  <c r="AE69" i="8" s="1"/>
  <c r="J58" i="8"/>
  <c r="J59" i="8" s="1"/>
  <c r="J60" i="8" s="1"/>
  <c r="P61" i="8"/>
  <c r="P58" i="8"/>
  <c r="H85" i="8"/>
  <c r="K60" i="8"/>
  <c r="AE60" i="8" s="1"/>
  <c r="AE59" i="8"/>
  <c r="J82" i="8"/>
  <c r="J83" i="8" s="1"/>
  <c r="J84" i="8" s="1"/>
  <c r="AE71" i="8"/>
  <c r="K72" i="8"/>
  <c r="AE72" i="8" s="1"/>
  <c r="F79" i="8"/>
  <c r="AI80" i="8"/>
  <c r="AK80" i="8" s="1"/>
  <c r="AM80" i="8" s="1"/>
  <c r="H79" i="8"/>
  <c r="P92" i="8"/>
  <c r="P91" i="8"/>
  <c r="K87" i="8"/>
  <c r="AE87" i="8" s="1"/>
  <c r="AE86" i="8"/>
  <c r="P65" i="8"/>
  <c r="P64" i="8"/>
  <c r="C74" i="8"/>
  <c r="F77" i="8"/>
  <c r="H76" i="8"/>
  <c r="G137" i="8"/>
  <c r="P74" i="8"/>
  <c r="P73" i="8"/>
  <c r="K63" i="8"/>
  <c r="AE63" i="8" s="1"/>
  <c r="AE62" i="8"/>
  <c r="D74" i="8"/>
  <c r="G77" i="8"/>
  <c r="I76" i="8"/>
  <c r="K76" i="8" s="1"/>
  <c r="U12" i="9"/>
  <c r="U15" i="9" s="1"/>
  <c r="F46" i="7"/>
  <c r="C15" i="9"/>
  <c r="AI31" i="8"/>
  <c r="AN29" i="8"/>
  <c r="AN31" i="8" s="1"/>
  <c r="AM29" i="8"/>
  <c r="AM31" i="8" s="1"/>
  <c r="T18" i="7"/>
  <c r="T21" i="7" s="1"/>
  <c r="S18" i="7"/>
  <c r="S21" i="7" s="1"/>
  <c r="S42" i="7"/>
  <c r="T42" i="7" s="1"/>
  <c r="T43" i="7" s="1"/>
  <c r="S40" i="7"/>
  <c r="M38" i="7"/>
  <c r="W12" i="9"/>
  <c r="L42" i="7"/>
  <c r="M42" i="7" s="1"/>
  <c r="D85" i="6" l="1"/>
  <c r="J85" i="6" s="1"/>
  <c r="D34" i="6"/>
  <c r="Q61" i="8"/>
  <c r="Q64" i="8"/>
  <c r="Q60" i="8"/>
  <c r="Q73" i="8"/>
  <c r="Q65" i="8"/>
  <c r="Q74" i="8"/>
  <c r="Q91" i="8"/>
  <c r="Q92" i="8"/>
  <c r="Q58" i="8"/>
  <c r="K7" i="8"/>
  <c r="O75" i="8"/>
  <c r="O76" i="8" s="1"/>
  <c r="O77" i="8" s="1"/>
  <c r="I133" i="8"/>
  <c r="K133" i="8" s="1"/>
  <c r="K134" i="8" s="1"/>
  <c r="O135" i="8"/>
  <c r="O136" i="8" s="1"/>
  <c r="O137" i="8" s="1"/>
  <c r="J85" i="8"/>
  <c r="J86" i="8" s="1"/>
  <c r="J87" i="8" s="1"/>
  <c r="P87" i="8"/>
  <c r="M90" i="8"/>
  <c r="M64" i="8"/>
  <c r="M65" i="8" s="1"/>
  <c r="H7" i="8"/>
  <c r="P62" i="8"/>
  <c r="P88" i="8"/>
  <c r="K137" i="8"/>
  <c r="AE136" i="8"/>
  <c r="P78" i="8"/>
  <c r="G74" i="8"/>
  <c r="I73" i="8"/>
  <c r="K73" i="8" s="1"/>
  <c r="J79" i="8"/>
  <c r="J80" i="8" s="1"/>
  <c r="J81" i="8" s="1"/>
  <c r="J76" i="8"/>
  <c r="J77" i="8" s="1"/>
  <c r="J78" i="8" s="1"/>
  <c r="AN80" i="8"/>
  <c r="AP80" i="8" s="1"/>
  <c r="D80" i="8" s="1"/>
  <c r="F74" i="8"/>
  <c r="H73" i="8"/>
  <c r="K77" i="8"/>
  <c r="AE76" i="8"/>
  <c r="G134" i="8"/>
  <c r="C130" i="8"/>
  <c r="C16" i="9"/>
  <c r="F16" i="9" s="1"/>
  <c r="F15" i="9"/>
  <c r="W15" i="9"/>
  <c r="Y12" i="9"/>
  <c r="Y15" i="9" s="1"/>
  <c r="Z12" i="9"/>
  <c r="D130" i="8"/>
  <c r="T25" i="7"/>
  <c r="V25" i="7" s="1"/>
  <c r="F26" i="8"/>
  <c r="O27" i="8"/>
  <c r="H25" i="8"/>
  <c r="J25" i="8" s="1"/>
  <c r="J26" i="8" s="1"/>
  <c r="J27" i="8" s="1"/>
  <c r="C58" i="7"/>
  <c r="F58" i="7" s="1"/>
  <c r="AI32" i="8"/>
  <c r="AI41" i="8" s="1"/>
  <c r="T22" i="7"/>
  <c r="AJ28" i="8" s="1"/>
  <c r="V21" i="7"/>
  <c r="T20" i="7"/>
  <c r="V20" i="7" s="1"/>
  <c r="T28" i="7"/>
  <c r="AL28" i="8" s="1"/>
  <c r="L43" i="7"/>
  <c r="M43" i="7" s="1"/>
  <c r="I45" i="7"/>
  <c r="K45" i="7" s="1"/>
  <c r="I44" i="7"/>
  <c r="K44" i="7" s="1"/>
  <c r="AB27" i="8" l="1"/>
  <c r="AC27" i="8" s="1"/>
  <c r="Y27" i="8"/>
  <c r="Z27" i="8" s="1"/>
  <c r="V27" i="8"/>
  <c r="W27" i="8" s="1"/>
  <c r="S27" i="8"/>
  <c r="H130" i="8"/>
  <c r="F130" i="8"/>
  <c r="G130" i="8"/>
  <c r="Q88" i="8"/>
  <c r="Q62" i="8"/>
  <c r="Q78" i="8"/>
  <c r="Q87" i="8"/>
  <c r="AE133" i="8"/>
  <c r="M138" i="8"/>
  <c r="M75" i="8"/>
  <c r="M78" i="8"/>
  <c r="I79" i="8"/>
  <c r="O81" i="8"/>
  <c r="O82" i="8" s="1"/>
  <c r="O83" i="8" s="1"/>
  <c r="M91" i="8"/>
  <c r="M92" i="8" s="1"/>
  <c r="P89" i="8"/>
  <c r="D3" i="8"/>
  <c r="AE137" i="8"/>
  <c r="K138" i="8"/>
  <c r="AE138" i="8" s="1"/>
  <c r="AE134" i="8"/>
  <c r="K135" i="8"/>
  <c r="AE135" i="8" s="1"/>
  <c r="D83" i="8"/>
  <c r="G80" i="8"/>
  <c r="S28" i="7"/>
  <c r="AK28" i="8" s="1"/>
  <c r="S22" i="7"/>
  <c r="AI28" i="8" s="1"/>
  <c r="S25" i="7"/>
  <c r="U25" i="7" s="1"/>
  <c r="J73" i="8"/>
  <c r="J74" i="8" s="1"/>
  <c r="J75" i="8" s="1"/>
  <c r="P75" i="8"/>
  <c r="AE73" i="8"/>
  <c r="K74" i="8"/>
  <c r="P79" i="8"/>
  <c r="P80" i="8"/>
  <c r="U21" i="7"/>
  <c r="S20" i="7"/>
  <c r="U20" i="7" s="1"/>
  <c r="AE77" i="8"/>
  <c r="K78" i="8"/>
  <c r="AE78" i="8" s="1"/>
  <c r="AK41" i="8"/>
  <c r="AM41" i="8" s="1"/>
  <c r="Z15" i="9"/>
  <c r="AB16" i="9" s="1"/>
  <c r="D10" i="9" s="1"/>
  <c r="G10" i="9" s="1"/>
  <c r="AB13" i="9"/>
  <c r="D9" i="9" s="1"/>
  <c r="G9" i="9" s="1"/>
  <c r="AK32" i="8"/>
  <c r="AM32" i="8" s="1"/>
  <c r="D131" i="8"/>
  <c r="G131" i="8" s="1"/>
  <c r="F31" i="8"/>
  <c r="C34" i="8"/>
  <c r="F34" i="8" s="1"/>
  <c r="O28" i="8"/>
  <c r="P27" i="8"/>
  <c r="C52" i="7"/>
  <c r="F52" i="7" s="1"/>
  <c r="I55" i="7"/>
  <c r="K55" i="7" s="1"/>
  <c r="L54" i="7"/>
  <c r="M54" i="7" s="1"/>
  <c r="T32" i="7"/>
  <c r="V32" i="7" s="1"/>
  <c r="T27" i="7"/>
  <c r="D127" i="8" s="1"/>
  <c r="V28" i="7"/>
  <c r="L44" i="7"/>
  <c r="M44" i="7" s="1"/>
  <c r="I46" i="7"/>
  <c r="K46" i="7" s="1"/>
  <c r="L45" i="7"/>
  <c r="M45" i="7" s="1"/>
  <c r="T23" i="7"/>
  <c r="T24" i="7" s="1"/>
  <c r="V22" i="7"/>
  <c r="T29" i="7"/>
  <c r="AA27" i="8" l="1"/>
  <c r="V27" i="7"/>
  <c r="I130" i="8"/>
  <c r="K130" i="8" s="1"/>
  <c r="J130" i="8"/>
  <c r="J131" i="8" s="1"/>
  <c r="J132" i="8" s="1"/>
  <c r="O132" i="8"/>
  <c r="P132" i="8" s="1"/>
  <c r="Q132" i="8" s="1"/>
  <c r="X27" i="8"/>
  <c r="Q80" i="8"/>
  <c r="Q79" i="8"/>
  <c r="Q89" i="8"/>
  <c r="Q27" i="8"/>
  <c r="U27" i="8"/>
  <c r="R27" i="8"/>
  <c r="Q75" i="8"/>
  <c r="I82" i="8"/>
  <c r="K82" i="8" s="1"/>
  <c r="O84" i="8"/>
  <c r="O85" i="8" s="1"/>
  <c r="O86" i="8" s="1"/>
  <c r="K79" i="8"/>
  <c r="M81" i="8"/>
  <c r="M79" i="8"/>
  <c r="M80" i="8" s="1"/>
  <c r="M76" i="8"/>
  <c r="M77" i="8" s="1"/>
  <c r="S32" i="7"/>
  <c r="U32" i="7" s="1"/>
  <c r="S27" i="7"/>
  <c r="C127" i="8" s="1"/>
  <c r="U28" i="7"/>
  <c r="AM28" i="8"/>
  <c r="H3" i="8"/>
  <c r="G50" i="6"/>
  <c r="AN28" i="8"/>
  <c r="S23" i="7"/>
  <c r="S24" i="7" s="1"/>
  <c r="AE74" i="8"/>
  <c r="K75" i="8"/>
  <c r="AE75" i="8" s="1"/>
  <c r="U22" i="7"/>
  <c r="S29" i="7"/>
  <c r="S30" i="7" s="1"/>
  <c r="S31" i="7" s="1"/>
  <c r="P77" i="8"/>
  <c r="P76" i="8"/>
  <c r="G83" i="8"/>
  <c r="P81" i="8"/>
  <c r="AN41" i="8"/>
  <c r="AO41" i="8" s="1"/>
  <c r="AN32" i="8"/>
  <c r="AO32" i="8" s="1"/>
  <c r="AP32" i="8" s="1"/>
  <c r="O29" i="8"/>
  <c r="P28" i="8"/>
  <c r="C125" i="8"/>
  <c r="O126" i="8" s="1"/>
  <c r="P120" i="8"/>
  <c r="I56" i="7"/>
  <c r="K56" i="7" s="1"/>
  <c r="I49" i="7"/>
  <c r="L55" i="7"/>
  <c r="M55" i="7" s="1"/>
  <c r="T30" i="7"/>
  <c r="T31" i="7" s="1"/>
  <c r="V23" i="7"/>
  <c r="V29" i="7"/>
  <c r="M135" i="8" l="1"/>
  <c r="M136" i="8" s="1"/>
  <c r="M137" i="8" s="1"/>
  <c r="O127" i="8"/>
  <c r="K131" i="8"/>
  <c r="AE130" i="8"/>
  <c r="AJ128" i="8"/>
  <c r="AL128" i="8" s="1"/>
  <c r="G127" i="8"/>
  <c r="U27" i="7"/>
  <c r="O133" i="8"/>
  <c r="O134" i="8" s="1"/>
  <c r="AD27" i="8"/>
  <c r="Q76" i="8"/>
  <c r="Q81" i="8"/>
  <c r="Q28" i="8"/>
  <c r="Q77" i="8"/>
  <c r="P29" i="8"/>
  <c r="M82" i="8"/>
  <c r="M83" i="8" s="1"/>
  <c r="K80" i="8"/>
  <c r="AE79" i="8"/>
  <c r="M87" i="8"/>
  <c r="M84" i="8"/>
  <c r="AO30" i="8"/>
  <c r="AP30" i="8" s="1"/>
  <c r="D29" i="8" s="1"/>
  <c r="U23" i="7"/>
  <c r="U29" i="7"/>
  <c r="AO29" i="8"/>
  <c r="AP29" i="8" s="1"/>
  <c r="K83" i="8"/>
  <c r="AE82" i="8"/>
  <c r="D6" i="8"/>
  <c r="D21" i="6" s="1"/>
  <c r="D81" i="6" s="1"/>
  <c r="P84" i="8"/>
  <c r="P82" i="8"/>
  <c r="P83" i="8"/>
  <c r="AP41" i="8"/>
  <c r="G41" i="8" s="1"/>
  <c r="I57" i="7"/>
  <c r="F125" i="8"/>
  <c r="H124" i="8"/>
  <c r="C37" i="8"/>
  <c r="Q120" i="8"/>
  <c r="P123" i="8"/>
  <c r="P121" i="8"/>
  <c r="P122" i="8"/>
  <c r="I50" i="7"/>
  <c r="I58" i="7"/>
  <c r="S35" i="7"/>
  <c r="U35" i="7" s="1"/>
  <c r="U24" i="7"/>
  <c r="T35" i="7"/>
  <c r="V35" i="7" s="1"/>
  <c r="V24" i="7"/>
  <c r="U30" i="7"/>
  <c r="V30" i="7"/>
  <c r="D84" i="6" l="1"/>
  <c r="J84" i="6" s="1"/>
  <c r="J81" i="6"/>
  <c r="K132" i="8"/>
  <c r="AE132" i="8" s="1"/>
  <c r="AE131" i="8"/>
  <c r="AI128" i="8"/>
  <c r="AK128" i="8" s="1"/>
  <c r="AM128" i="8" s="1"/>
  <c r="F127" i="8"/>
  <c r="H127" i="8"/>
  <c r="O128" i="8"/>
  <c r="P128" i="8" s="1"/>
  <c r="Q128" i="8" s="1"/>
  <c r="P127" i="8"/>
  <c r="Q127" i="8" s="1"/>
  <c r="Q82" i="8"/>
  <c r="Q83" i="8"/>
  <c r="Q29" i="8"/>
  <c r="Q84" i="8"/>
  <c r="C40" i="8"/>
  <c r="F40" i="8" s="1"/>
  <c r="M85" i="8"/>
  <c r="M86" i="8" s="1"/>
  <c r="M88" i="8"/>
  <c r="M89" i="8" s="1"/>
  <c r="AE80" i="8"/>
  <c r="K81" i="8"/>
  <c r="AE81" i="8" s="1"/>
  <c r="H6" i="8"/>
  <c r="C29" i="8"/>
  <c r="F29" i="8" s="1"/>
  <c r="C28" i="8"/>
  <c r="F28" i="8" s="1"/>
  <c r="AE83" i="8"/>
  <c r="K84" i="8"/>
  <c r="AE84" i="8" s="1"/>
  <c r="P85" i="8"/>
  <c r="P86" i="8"/>
  <c r="I40" i="8"/>
  <c r="K40" i="8" s="1"/>
  <c r="K41" i="8" s="1"/>
  <c r="F91" i="8"/>
  <c r="J124" i="8"/>
  <c r="J125" i="8" s="1"/>
  <c r="J126" i="8" s="1"/>
  <c r="F103" i="8"/>
  <c r="C106" i="8"/>
  <c r="H103" i="8"/>
  <c r="F37" i="8"/>
  <c r="C32" i="8"/>
  <c r="C35" i="8" s="1"/>
  <c r="D32" i="8"/>
  <c r="AK53" i="8"/>
  <c r="AM53" i="8" s="1"/>
  <c r="D28" i="8"/>
  <c r="C107" i="8"/>
  <c r="Q122" i="8"/>
  <c r="Q121" i="8"/>
  <c r="Q123" i="8"/>
  <c r="I52" i="7"/>
  <c r="P124" i="8"/>
  <c r="P125" i="8"/>
  <c r="I51" i="7"/>
  <c r="T34" i="7"/>
  <c r="V34" i="7" s="1"/>
  <c r="V31" i="7"/>
  <c r="U31" i="7"/>
  <c r="S34" i="7"/>
  <c r="U34" i="7" s="1"/>
  <c r="AN128" i="8" l="1"/>
  <c r="AP128" i="8" s="1"/>
  <c r="D128" i="8" s="1"/>
  <c r="J127" i="8"/>
  <c r="J128" i="8" s="1"/>
  <c r="J129" i="8" s="1"/>
  <c r="Q86" i="8"/>
  <c r="Q85" i="8"/>
  <c r="J103" i="8"/>
  <c r="J104" i="8" s="1"/>
  <c r="J105" i="8" s="1"/>
  <c r="C41" i="8"/>
  <c r="O42" i="8" s="1"/>
  <c r="O43" i="8" s="1"/>
  <c r="O44" i="8" s="1"/>
  <c r="H28" i="8"/>
  <c r="J28" i="8" s="1"/>
  <c r="J29" i="8" s="1"/>
  <c r="J30" i="8" s="1"/>
  <c r="AE40" i="8"/>
  <c r="F106" i="8"/>
  <c r="C109" i="8"/>
  <c r="F44" i="8"/>
  <c r="H43" i="8"/>
  <c r="K42" i="8"/>
  <c r="AE42" i="8" s="1"/>
  <c r="AE41" i="8"/>
  <c r="I31" i="8"/>
  <c r="K31" i="8" s="1"/>
  <c r="AE31" i="8" s="1"/>
  <c r="D35" i="8"/>
  <c r="AN53" i="8"/>
  <c r="F107" i="8"/>
  <c r="H106" i="8"/>
  <c r="G32" i="8"/>
  <c r="F32" i="8"/>
  <c r="G28" i="8"/>
  <c r="Q125" i="8"/>
  <c r="Q124" i="8"/>
  <c r="G128" i="8" l="1"/>
  <c r="O129" i="8"/>
  <c r="I127" i="8"/>
  <c r="J106" i="8"/>
  <c r="J107" i="8" s="1"/>
  <c r="J108" i="8" s="1"/>
  <c r="C38" i="8"/>
  <c r="F41" i="8"/>
  <c r="H40" i="8"/>
  <c r="P42" i="8"/>
  <c r="F109" i="8"/>
  <c r="F47" i="8"/>
  <c r="H46" i="8"/>
  <c r="J43" i="8"/>
  <c r="J44" i="8" s="1"/>
  <c r="J45" i="8" s="1"/>
  <c r="I43" i="8"/>
  <c r="K43" i="8" s="1"/>
  <c r="K44" i="8" s="1"/>
  <c r="K45" i="8" s="1"/>
  <c r="G44" i="8"/>
  <c r="K32" i="8"/>
  <c r="K33" i="8" s="1"/>
  <c r="AE33" i="8" s="1"/>
  <c r="C112" i="8"/>
  <c r="O36" i="8"/>
  <c r="O37" i="8" s="1"/>
  <c r="O38" i="8" s="1"/>
  <c r="I124" i="8"/>
  <c r="G124" i="8"/>
  <c r="F35" i="8"/>
  <c r="H34" i="8"/>
  <c r="G35" i="8"/>
  <c r="I34" i="8"/>
  <c r="K34" i="8" s="1"/>
  <c r="O30" i="8"/>
  <c r="I28" i="8"/>
  <c r="K28" i="8" s="1"/>
  <c r="G29" i="8"/>
  <c r="P135" i="8"/>
  <c r="P129" i="8" l="1"/>
  <c r="Q129" i="8" s="1"/>
  <c r="D5" i="8"/>
  <c r="M129" i="8"/>
  <c r="M130" i="8" s="1"/>
  <c r="M131" i="8" s="1"/>
  <c r="O130" i="8"/>
  <c r="P130" i="8" s="1"/>
  <c r="Q130" i="8" s="1"/>
  <c r="K127" i="8"/>
  <c r="M132" i="8"/>
  <c r="Q42" i="8"/>
  <c r="Q135" i="8"/>
  <c r="J40" i="8"/>
  <c r="J41" i="8" s="1"/>
  <c r="J42" i="8" s="1"/>
  <c r="M45" i="8"/>
  <c r="M126" i="8"/>
  <c r="M127" i="8" s="1"/>
  <c r="M128" i="8" s="1"/>
  <c r="D4" i="8"/>
  <c r="G47" i="8"/>
  <c r="I46" i="8"/>
  <c r="K46" i="8" s="1"/>
  <c r="K47" i="8" s="1"/>
  <c r="K48" i="8" s="1"/>
  <c r="J46" i="8"/>
  <c r="J47" i="8" s="1"/>
  <c r="J48" i="8" s="1"/>
  <c r="AE32" i="8"/>
  <c r="K124" i="8"/>
  <c r="AE124" i="8" s="1"/>
  <c r="F112" i="8"/>
  <c r="J34" i="8"/>
  <c r="J35" i="8" s="1"/>
  <c r="J36" i="8" s="1"/>
  <c r="AE43" i="8"/>
  <c r="K35" i="8"/>
  <c r="AE34" i="8"/>
  <c r="K29" i="8"/>
  <c r="AE28" i="8"/>
  <c r="P36" i="8"/>
  <c r="M30" i="8"/>
  <c r="O31" i="8"/>
  <c r="P30" i="8"/>
  <c r="P138" i="8"/>
  <c r="P133" i="8"/>
  <c r="P134" i="8"/>
  <c r="P137" i="8"/>
  <c r="P136" i="8"/>
  <c r="P126" i="8"/>
  <c r="K5" i="8" l="1"/>
  <c r="H5" i="8"/>
  <c r="D20" i="6"/>
  <c r="D77" i="6" s="1"/>
  <c r="O131" i="8"/>
  <c r="P131" i="8" s="1"/>
  <c r="Q131" i="8" s="1"/>
  <c r="K128" i="8"/>
  <c r="AE127" i="8"/>
  <c r="K3" i="8"/>
  <c r="Q137" i="8"/>
  <c r="Q134" i="8"/>
  <c r="Q133" i="8"/>
  <c r="Q138" i="8"/>
  <c r="Q30" i="8"/>
  <c r="Q126" i="8"/>
  <c r="Q136" i="8"/>
  <c r="Q36" i="8"/>
  <c r="D19" i="6"/>
  <c r="D73" i="6" s="1"/>
  <c r="M48" i="8"/>
  <c r="M49" i="8" s="1"/>
  <c r="M50" i="8" s="1"/>
  <c r="M133" i="8"/>
  <c r="M134" i="8" s="1"/>
  <c r="M46" i="8"/>
  <c r="M47" i="8" s="1"/>
  <c r="H4" i="8"/>
  <c r="K125" i="8"/>
  <c r="K126" i="8" s="1"/>
  <c r="AE126" i="8" s="1"/>
  <c r="K30" i="8"/>
  <c r="AE30" i="8" s="1"/>
  <c r="AE29" i="8"/>
  <c r="P48" i="8"/>
  <c r="K36" i="8"/>
  <c r="AE36" i="8" s="1"/>
  <c r="AE35" i="8"/>
  <c r="P38" i="8"/>
  <c r="P37" i="8"/>
  <c r="AE45" i="8"/>
  <c r="AE44" i="8"/>
  <c r="AE46" i="8"/>
  <c r="P31" i="8"/>
  <c r="O32" i="8"/>
  <c r="P32" i="8" s="1"/>
  <c r="N30" i="8"/>
  <c r="E4" i="8" s="1"/>
  <c r="G4" i="8" s="1"/>
  <c r="M31" i="8"/>
  <c r="M32" i="8" s="1"/>
  <c r="P45" i="8"/>
  <c r="D80" i="6" l="1"/>
  <c r="J80" i="6" s="1"/>
  <c r="J77" i="6"/>
  <c r="D23" i="6"/>
  <c r="D74" i="6" s="1"/>
  <c r="J74" i="6" s="1"/>
  <c r="K129" i="8"/>
  <c r="AE129" i="8" s="1"/>
  <c r="AE128" i="8"/>
  <c r="Q48" i="8"/>
  <c r="Q37" i="8"/>
  <c r="Q38" i="8"/>
  <c r="Q32" i="8"/>
  <c r="Q31" i="8"/>
  <c r="J73" i="6"/>
  <c r="D76" i="6"/>
  <c r="J76" i="6" s="1"/>
  <c r="AE125" i="8"/>
  <c r="P50" i="8"/>
  <c r="P49" i="8"/>
  <c r="AE47" i="8"/>
  <c r="AE48" i="8"/>
  <c r="H31" i="8"/>
  <c r="M36" i="8" s="1"/>
  <c r="M37" i="8" s="1"/>
  <c r="M38" i="8" s="1"/>
  <c r="O33" i="8"/>
  <c r="O34" i="8" s="1"/>
  <c r="N31" i="8"/>
  <c r="P117" i="8"/>
  <c r="P44" i="8"/>
  <c r="P43" i="8"/>
  <c r="Q45" i="8"/>
  <c r="P47" i="8"/>
  <c r="P46" i="8"/>
  <c r="Q49" i="8" l="1"/>
  <c r="Q50" i="8"/>
  <c r="Q117" i="8"/>
  <c r="N32" i="8"/>
  <c r="O35" i="8"/>
  <c r="P35" i="8" s="1"/>
  <c r="P34" i="8"/>
  <c r="M33" i="8"/>
  <c r="J31" i="8"/>
  <c r="J32" i="8" s="1"/>
  <c r="J33" i="8" s="1"/>
  <c r="P33" i="8"/>
  <c r="P118" i="8"/>
  <c r="P119" i="8"/>
  <c r="Q47" i="8"/>
  <c r="Q46" i="8"/>
  <c r="Q43" i="8"/>
  <c r="Q44" i="8"/>
  <c r="Q119" i="8" l="1"/>
  <c r="Q118" i="8"/>
  <c r="Q33" i="8"/>
  <c r="Q35" i="8"/>
  <c r="Q34" i="8"/>
  <c r="N33" i="8"/>
  <c r="M34" i="8"/>
  <c r="M35" i="8" s="1"/>
  <c r="N34" i="8" l="1"/>
  <c r="N36" i="8"/>
  <c r="C94" i="8"/>
  <c r="N37" i="8" l="1"/>
  <c r="N35" i="8"/>
  <c r="C100" i="8"/>
  <c r="F94" i="8"/>
  <c r="C97" i="8"/>
  <c r="N38" i="8" l="1"/>
  <c r="H97" i="8"/>
  <c r="F97" i="8"/>
  <c r="H100" i="8"/>
  <c r="F100" i="8"/>
  <c r="J97" i="8" l="1"/>
  <c r="J98" i="8" s="1"/>
  <c r="J99" i="8" s="1"/>
  <c r="J100" i="8"/>
  <c r="J101" i="8" s="1"/>
  <c r="J102" i="8" s="1"/>
  <c r="J49" i="7" l="1"/>
  <c r="K49" i="7" s="1"/>
  <c r="L48" i="7"/>
  <c r="M48" i="7" s="1"/>
  <c r="L49" i="7"/>
  <c r="M49" i="7" s="1"/>
  <c r="J50" i="7" l="1"/>
  <c r="K50" i="7" s="1"/>
  <c r="G91" i="8"/>
  <c r="C24" i="9" l="1"/>
  <c r="F24" i="9" s="1"/>
  <c r="G103" i="8"/>
  <c r="C25" i="9"/>
  <c r="F25" i="9" s="1"/>
  <c r="L51" i="7"/>
  <c r="M51" i="7" s="1"/>
  <c r="J52" i="7"/>
  <c r="K52" i="7" s="1"/>
  <c r="L50" i="7"/>
  <c r="M50" i="7" s="1"/>
  <c r="J51" i="7"/>
  <c r="K51" i="7" s="1"/>
  <c r="D94" i="8"/>
  <c r="G94" i="8" s="1"/>
  <c r="C53" i="8"/>
  <c r="C50" i="8" l="1"/>
  <c r="F53" i="8"/>
  <c r="H52" i="8"/>
  <c r="AP53" i="8"/>
  <c r="D53" i="8" s="1"/>
  <c r="D50" i="8" s="1"/>
  <c r="D97" i="8"/>
  <c r="D100" i="8"/>
  <c r="D104" i="8"/>
  <c r="D106" i="8"/>
  <c r="O105" i="8" l="1"/>
  <c r="O106" i="8" s="1"/>
  <c r="O107" i="8" s="1"/>
  <c r="D107" i="8"/>
  <c r="G107" i="8" s="1"/>
  <c r="O54" i="8"/>
  <c r="O55" i="8" s="1"/>
  <c r="O56" i="8" s="1"/>
  <c r="G100" i="8"/>
  <c r="G97" i="8"/>
  <c r="O51" i="8"/>
  <c r="O52" i="8" s="1"/>
  <c r="O53" i="8" s="1"/>
  <c r="G53" i="8"/>
  <c r="I52" i="8"/>
  <c r="K52" i="8" s="1"/>
  <c r="G106" i="8"/>
  <c r="D109" i="8"/>
  <c r="G109" i="8" s="1"/>
  <c r="J52" i="8"/>
  <c r="J53" i="8" s="1"/>
  <c r="J54" i="8" s="1"/>
  <c r="F50" i="8"/>
  <c r="H49" i="8"/>
  <c r="G104" i="8"/>
  <c r="D101" i="8"/>
  <c r="G101" i="8" s="1"/>
  <c r="I103" i="8"/>
  <c r="M57" i="8" l="1"/>
  <c r="M58" i="8" s="1"/>
  <c r="M59" i="8" s="1"/>
  <c r="O102" i="8"/>
  <c r="O103" i="8" s="1"/>
  <c r="O104" i="8" s="1"/>
  <c r="K103" i="8"/>
  <c r="AE103" i="8" s="1"/>
  <c r="O108" i="8"/>
  <c r="O109" i="8" s="1"/>
  <c r="O110" i="8" s="1"/>
  <c r="K53" i="8"/>
  <c r="AE52" i="8"/>
  <c r="P54" i="8"/>
  <c r="P52" i="8"/>
  <c r="P53" i="8"/>
  <c r="J49" i="8"/>
  <c r="J50" i="8" s="1"/>
  <c r="J51" i="8" s="1"/>
  <c r="G50" i="8"/>
  <c r="I49" i="8"/>
  <c r="K49" i="8" s="1"/>
  <c r="K50" i="8" s="1"/>
  <c r="K51" i="8" s="1"/>
  <c r="I106" i="8"/>
  <c r="I100" i="8"/>
  <c r="M105" i="8" s="1"/>
  <c r="I109" i="8"/>
  <c r="K109" i="8" s="1"/>
  <c r="D112" i="8"/>
  <c r="G112" i="8" s="1"/>
  <c r="P105" i="8"/>
  <c r="Q52" i="8" l="1"/>
  <c r="Q54" i="8"/>
  <c r="Q53" i="8"/>
  <c r="M54" i="8"/>
  <c r="M106" i="8"/>
  <c r="M107" i="8" s="1"/>
  <c r="K106" i="8"/>
  <c r="AE106" i="8" s="1"/>
  <c r="M108" i="8"/>
  <c r="M51" i="8"/>
  <c r="K104" i="8"/>
  <c r="K105" i="8" s="1"/>
  <c r="AE105" i="8" s="1"/>
  <c r="P108" i="8"/>
  <c r="K54" i="8"/>
  <c r="AE54" i="8" s="1"/>
  <c r="AE53" i="8"/>
  <c r="P56" i="8"/>
  <c r="P55" i="8"/>
  <c r="P109" i="8"/>
  <c r="K110" i="8"/>
  <c r="AE109" i="8"/>
  <c r="K100" i="8"/>
  <c r="AE49" i="8"/>
  <c r="P102" i="8"/>
  <c r="P51" i="8"/>
  <c r="P104" i="8"/>
  <c r="P103" i="8"/>
  <c r="I112" i="8"/>
  <c r="K112" i="8" s="1"/>
  <c r="C113" i="8"/>
  <c r="C110" i="8" s="1"/>
  <c r="Q105" i="8"/>
  <c r="P106" i="8"/>
  <c r="P107" i="8"/>
  <c r="Q56" i="8" l="1"/>
  <c r="Q55" i="8"/>
  <c r="Q102" i="8"/>
  <c r="Q108" i="8"/>
  <c r="K107" i="8"/>
  <c r="AE107" i="8" s="1"/>
  <c r="AE104" i="8"/>
  <c r="M109" i="8"/>
  <c r="M110" i="8" s="1"/>
  <c r="F113" i="8"/>
  <c r="O114" i="8"/>
  <c r="O115" i="8" s="1"/>
  <c r="O116" i="8" s="1"/>
  <c r="M52" i="8"/>
  <c r="M53" i="8" s="1"/>
  <c r="M55" i="8"/>
  <c r="M56" i="8" s="1"/>
  <c r="P110" i="8"/>
  <c r="K111" i="8"/>
  <c r="AE111" i="8" s="1"/>
  <c r="AE110" i="8"/>
  <c r="K113" i="8"/>
  <c r="AE112" i="8"/>
  <c r="K101" i="8"/>
  <c r="AE100" i="8"/>
  <c r="AE50" i="8"/>
  <c r="AE51" i="8"/>
  <c r="Q109" i="8"/>
  <c r="Q103" i="8"/>
  <c r="Q104" i="8"/>
  <c r="H112" i="8"/>
  <c r="Q107" i="8"/>
  <c r="Q106" i="8"/>
  <c r="Q51" i="8"/>
  <c r="Q110" i="8" l="1"/>
  <c r="K108" i="8"/>
  <c r="AE108" i="8" s="1"/>
  <c r="F110" i="8"/>
  <c r="O111" i="8"/>
  <c r="O112" i="8" s="1"/>
  <c r="J112" i="8"/>
  <c r="J113" i="8" s="1"/>
  <c r="J114" i="8" s="1"/>
  <c r="M117" i="8"/>
  <c r="M118" i="8" s="1"/>
  <c r="M119" i="8" s="1"/>
  <c r="K114" i="8"/>
  <c r="AE114" i="8" s="1"/>
  <c r="AE113" i="8"/>
  <c r="K102" i="8"/>
  <c r="AE102" i="8" s="1"/>
  <c r="AE101" i="8"/>
  <c r="P114" i="8"/>
  <c r="H109" i="8"/>
  <c r="M111" i="8" s="1"/>
  <c r="O113" i="8" l="1"/>
  <c r="M114" i="8"/>
  <c r="M115" i="8" s="1"/>
  <c r="M116" i="8" s="1"/>
  <c r="M112" i="8"/>
  <c r="M113" i="8" s="1"/>
  <c r="J109" i="8"/>
  <c r="J110" i="8" s="1"/>
  <c r="J111" i="8" s="1"/>
  <c r="P111" i="8"/>
  <c r="Q114" i="8"/>
  <c r="P115" i="8"/>
  <c r="P116" i="8"/>
  <c r="Q116" i="8" l="1"/>
  <c r="Q115" i="8"/>
  <c r="Q111" i="8"/>
  <c r="P113" i="8"/>
  <c r="P112" i="8"/>
  <c r="Q112" i="8" l="1"/>
  <c r="Q113" i="8"/>
  <c r="L56" i="7"/>
  <c r="M56" i="7" s="1"/>
  <c r="J58" i="7"/>
  <c r="K58" i="7" s="1"/>
  <c r="L57" i="7"/>
  <c r="M57" i="7" s="1"/>
  <c r="J57" i="7"/>
  <c r="K57" i="7" s="1"/>
  <c r="D38" i="8"/>
  <c r="O39" i="8" s="1"/>
  <c r="O40" i="8" s="1"/>
  <c r="O41" i="8" s="1"/>
  <c r="I37" i="8" l="1"/>
  <c r="K37" i="8" s="1"/>
  <c r="G38" i="8"/>
  <c r="C92" i="8"/>
  <c r="C95" i="8" s="1"/>
  <c r="G92" i="8"/>
  <c r="I91" i="8"/>
  <c r="K91" i="8" s="1"/>
  <c r="AE91" i="8" s="1"/>
  <c r="D95" i="8"/>
  <c r="G95" i="8" s="1"/>
  <c r="O93" i="8" l="1"/>
  <c r="O94" i="8" s="1"/>
  <c r="O95" i="8" s="1"/>
  <c r="K92" i="8"/>
  <c r="AE92" i="8" s="1"/>
  <c r="K38" i="8"/>
  <c r="AE37" i="8"/>
  <c r="F92" i="8"/>
  <c r="H91" i="8"/>
  <c r="M93" i="8" s="1"/>
  <c r="D98" i="8"/>
  <c r="I94" i="8"/>
  <c r="K94" i="8" s="1"/>
  <c r="P93" i="8" l="1"/>
  <c r="F95" i="8"/>
  <c r="O96" i="8"/>
  <c r="O97" i="8" s="1"/>
  <c r="O98" i="8" s="1"/>
  <c r="G98" i="8"/>
  <c r="O99" i="8"/>
  <c r="O100" i="8" s="1"/>
  <c r="O101" i="8" s="1"/>
  <c r="M94" i="8"/>
  <c r="M95" i="8" s="1"/>
  <c r="J91" i="8"/>
  <c r="J92" i="8" s="1"/>
  <c r="J93" i="8" s="1"/>
  <c r="K93" i="8"/>
  <c r="AE93" i="8" s="1"/>
  <c r="K39" i="8"/>
  <c r="AE39" i="8" s="1"/>
  <c r="AE38" i="8"/>
  <c r="F38" i="8"/>
  <c r="H37" i="8"/>
  <c r="K95" i="8"/>
  <c r="AE94" i="8"/>
  <c r="H94" i="8"/>
  <c r="P94" i="8"/>
  <c r="P95" i="8"/>
  <c r="I97" i="8"/>
  <c r="M102" i="8" s="1"/>
  <c r="Q93" i="8" l="1"/>
  <c r="P96" i="8"/>
  <c r="J94" i="8"/>
  <c r="J95" i="8" s="1"/>
  <c r="J96" i="8" s="1"/>
  <c r="M96" i="8"/>
  <c r="M99" i="8"/>
  <c r="M100" i="8" s="1"/>
  <c r="M101" i="8" s="1"/>
  <c r="M39" i="8"/>
  <c r="M42" i="8"/>
  <c r="M103" i="8"/>
  <c r="M104" i="8" s="1"/>
  <c r="P97" i="8"/>
  <c r="P39" i="8"/>
  <c r="J37" i="8"/>
  <c r="J38" i="8" s="1"/>
  <c r="J39" i="8" s="1"/>
  <c r="K96" i="8"/>
  <c r="AE96" i="8" s="1"/>
  <c r="AE95" i="8"/>
  <c r="K97" i="8"/>
  <c r="P99" i="8"/>
  <c r="Q95" i="8"/>
  <c r="Q94" i="8"/>
  <c r="Q96" i="8" l="1"/>
  <c r="Q39" i="8"/>
  <c r="N39" i="8"/>
  <c r="M40" i="8"/>
  <c r="M41" i="8" s="1"/>
  <c r="M97" i="8"/>
  <c r="M98" i="8" s="1"/>
  <c r="M43" i="8"/>
  <c r="M44" i="8" s="1"/>
  <c r="P98" i="8"/>
  <c r="P41" i="8"/>
  <c r="P40" i="8"/>
  <c r="K98" i="8"/>
  <c r="AE97" i="8"/>
  <c r="Q99" i="8"/>
  <c r="Q97" i="8"/>
  <c r="P101" i="8"/>
  <c r="P100" i="8"/>
  <c r="N40" i="8" l="1"/>
  <c r="Q41" i="8"/>
  <c r="Q98" i="8"/>
  <c r="Q40" i="8"/>
  <c r="N42" i="8"/>
  <c r="K99" i="8"/>
  <c r="AE99" i="8" s="1"/>
  <c r="AE98" i="8"/>
  <c r="Q100" i="8"/>
  <c r="Q101" i="8"/>
  <c r="N43" i="8" l="1"/>
  <c r="N41" i="8"/>
  <c r="N45" i="8"/>
  <c r="N46" i="8" l="1"/>
  <c r="N44" i="8"/>
  <c r="N48" i="8"/>
  <c r="N49" i="8" l="1"/>
  <c r="N47" i="8"/>
  <c r="N51" i="8"/>
  <c r="N52" i="8" l="1"/>
  <c r="N50" i="8"/>
  <c r="N54" i="8"/>
  <c r="T27" i="8"/>
  <c r="N55" i="8" l="1"/>
  <c r="N53" i="8"/>
  <c r="N57" i="8"/>
  <c r="N56" i="8" l="1"/>
  <c r="N58" i="8"/>
  <c r="N60" i="8"/>
  <c r="N59" i="8" l="1"/>
  <c r="N61" i="8"/>
  <c r="N63" i="8"/>
  <c r="N62" i="8" l="1"/>
  <c r="N64" i="8"/>
  <c r="N66" i="8"/>
  <c r="N65" i="8" l="1"/>
  <c r="N69" i="8"/>
  <c r="N67" i="8"/>
  <c r="N70" i="8" l="1"/>
  <c r="N72" i="8"/>
  <c r="N68" i="8"/>
  <c r="N71" i="8" l="1"/>
  <c r="N73" i="8"/>
  <c r="N75" i="8"/>
  <c r="N74" i="8" l="1"/>
  <c r="N76" i="8"/>
  <c r="N78" i="8"/>
  <c r="N77" i="8" l="1"/>
  <c r="N79" i="8"/>
  <c r="N81" i="8"/>
  <c r="N80" i="8" l="1"/>
  <c r="N82" i="8"/>
  <c r="N84" i="8"/>
  <c r="N83" i="8" l="1"/>
  <c r="N85" i="8"/>
  <c r="N87" i="8"/>
  <c r="N86" i="8" l="1"/>
  <c r="N88" i="8"/>
  <c r="N90" i="8"/>
  <c r="N89" i="8" l="1"/>
  <c r="N91" i="8"/>
  <c r="N93" i="8"/>
  <c r="N92" i="8" l="1"/>
  <c r="N94" i="8"/>
  <c r="N96" i="8"/>
  <c r="N95" i="8" l="1"/>
  <c r="N99" i="8"/>
  <c r="N97" i="8"/>
  <c r="N100" i="8" l="1"/>
  <c r="N102" i="8"/>
  <c r="N98" i="8"/>
  <c r="N101" i="8" l="1"/>
  <c r="N103" i="8"/>
  <c r="N105" i="8"/>
  <c r="N104" i="8" l="1"/>
  <c r="N106" i="8"/>
  <c r="N108" i="8"/>
  <c r="N107" i="8" l="1"/>
  <c r="N109" i="8"/>
  <c r="N111" i="8"/>
  <c r="N110" i="8" l="1"/>
  <c r="N112" i="8"/>
  <c r="N114" i="8"/>
  <c r="N113" i="8" l="1"/>
  <c r="N117" i="8"/>
  <c r="N115" i="8"/>
  <c r="N118" i="8" l="1"/>
  <c r="N119" i="8" s="1"/>
  <c r="N120" i="8"/>
  <c r="N116" i="8"/>
  <c r="N121" i="8" l="1"/>
  <c r="N122" i="8" s="1"/>
  <c r="N123" i="8"/>
  <c r="N124" i="8" l="1"/>
  <c r="N125" i="8" s="1"/>
  <c r="N126" i="8"/>
  <c r="N127" i="8" l="1"/>
  <c r="N128" i="8" s="1"/>
  <c r="N129" i="8"/>
  <c r="E5" i="8" l="1"/>
  <c r="AB128" i="8" s="1"/>
  <c r="N132" i="8"/>
  <c r="E6" i="8" s="1"/>
  <c r="N130" i="8"/>
  <c r="N131" i="8" s="1"/>
  <c r="O3" i="8" l="1"/>
  <c r="Y126" i="8" s="1"/>
  <c r="Z126" i="8" s="1"/>
  <c r="S97" i="8"/>
  <c r="S54" i="8"/>
  <c r="S82" i="8"/>
  <c r="S126" i="8"/>
  <c r="T126" i="8" s="1"/>
  <c r="S72" i="8"/>
  <c r="S49" i="8"/>
  <c r="S66" i="8"/>
  <c r="S122" i="8"/>
  <c r="S83" i="8"/>
  <c r="S109" i="8"/>
  <c r="S34" i="8"/>
  <c r="S69" i="8"/>
  <c r="N135" i="8"/>
  <c r="N136" i="8" s="1"/>
  <c r="S56" i="8"/>
  <c r="S41" i="8"/>
  <c r="G5" i="8"/>
  <c r="D24" i="6" s="1"/>
  <c r="D78" i="6" s="1"/>
  <c r="J78" i="6" s="1"/>
  <c r="S93" i="8"/>
  <c r="S78" i="8"/>
  <c r="S32" i="8"/>
  <c r="S76" i="8"/>
  <c r="S67" i="8"/>
  <c r="S52" i="8"/>
  <c r="S37" i="8"/>
  <c r="S99" i="8"/>
  <c r="S94" i="8"/>
  <c r="S62" i="8"/>
  <c r="S79" i="8"/>
  <c r="S74" i="8"/>
  <c r="S58" i="8"/>
  <c r="S45" i="8"/>
  <c r="L3" i="8"/>
  <c r="S105" i="8"/>
  <c r="S80" i="8"/>
  <c r="S42" i="8"/>
  <c r="S31" i="8"/>
  <c r="S73" i="8"/>
  <c r="S63" i="8"/>
  <c r="S48" i="8"/>
  <c r="S39" i="8"/>
  <c r="S108" i="8"/>
  <c r="S86" i="8"/>
  <c r="S30" i="8"/>
  <c r="S90" i="8"/>
  <c r="S36" i="8"/>
  <c r="S100" i="8"/>
  <c r="S84" i="8"/>
  <c r="S65" i="8"/>
  <c r="S57" i="8"/>
  <c r="S46" i="8"/>
  <c r="S33" i="8"/>
  <c r="S38" i="8"/>
  <c r="S128" i="8"/>
  <c r="T128" i="8" s="1"/>
  <c r="S43" i="8"/>
  <c r="S125" i="8"/>
  <c r="S92" i="8"/>
  <c r="S77" i="8"/>
  <c r="S61" i="8"/>
  <c r="S53" i="8"/>
  <c r="S35" i="8"/>
  <c r="G6" i="8"/>
  <c r="D25" i="6" s="1"/>
  <c r="N133" i="8"/>
  <c r="N134" i="8" s="1"/>
  <c r="S71" i="8"/>
  <c r="S117" i="8"/>
  <c r="S44" i="8"/>
  <c r="S60" i="8"/>
  <c r="S89" i="8"/>
  <c r="S64" i="8"/>
  <c r="S107" i="8"/>
  <c r="S110" i="8"/>
  <c r="S85" i="8"/>
  <c r="S70" i="8"/>
  <c r="S95" i="8"/>
  <c r="S106" i="8"/>
  <c r="S47" i="8"/>
  <c r="S118" i="8"/>
  <c r="S51" i="8"/>
  <c r="S59" i="8"/>
  <c r="S68" i="8"/>
  <c r="S103" i="8"/>
  <c r="S55" i="8"/>
  <c r="S87" i="8"/>
  <c r="S91" i="8"/>
  <c r="S50" i="8"/>
  <c r="S81" i="8"/>
  <c r="S124" i="8"/>
  <c r="S121" i="8"/>
  <c r="S120" i="8"/>
  <c r="S96" i="8"/>
  <c r="S114" i="8"/>
  <c r="AB129" i="8"/>
  <c r="S113" i="8"/>
  <c r="S75" i="8"/>
  <c r="S119" i="8"/>
  <c r="S115" i="8"/>
  <c r="S127" i="8"/>
  <c r="T127" i="8" s="1"/>
  <c r="S98" i="8"/>
  <c r="S116" i="8"/>
  <c r="S104" i="8"/>
  <c r="AB127" i="8"/>
  <c r="S40" i="8"/>
  <c r="S101" i="8"/>
  <c r="S88" i="8"/>
  <c r="S102" i="8"/>
  <c r="S112" i="8"/>
  <c r="S111" i="8"/>
  <c r="S123" i="8"/>
  <c r="AB30" i="8"/>
  <c r="AB31" i="8"/>
  <c r="AB32" i="8"/>
  <c r="AB33" i="8"/>
  <c r="AB36" i="8"/>
  <c r="AB34" i="8"/>
  <c r="AB37" i="8"/>
  <c r="AB35" i="8"/>
  <c r="AB38" i="8"/>
  <c r="AB39" i="8"/>
  <c r="AB40" i="8"/>
  <c r="AB42" i="8"/>
  <c r="AB41" i="8"/>
  <c r="AB45" i="8"/>
  <c r="AB43" i="8"/>
  <c r="AB46" i="8"/>
  <c r="AB48" i="8"/>
  <c r="AB44" i="8"/>
  <c r="AB51" i="8"/>
  <c r="AB49" i="8"/>
  <c r="AB47" i="8"/>
  <c r="AB52" i="8"/>
  <c r="AB54" i="8"/>
  <c r="AB50" i="8"/>
  <c r="AB55" i="8"/>
  <c r="AB53" i="8"/>
  <c r="AB57" i="8"/>
  <c r="AB60" i="8"/>
  <c r="AB58" i="8"/>
  <c r="AB56" i="8"/>
  <c r="AB59" i="8"/>
  <c r="AB63" i="8"/>
  <c r="AB61" i="8"/>
  <c r="AB62" i="8"/>
  <c r="AB64" i="8"/>
  <c r="AB66" i="8"/>
  <c r="AB69" i="8"/>
  <c r="AB65" i="8"/>
  <c r="AB67" i="8"/>
  <c r="AB68" i="8"/>
  <c r="AB72" i="8"/>
  <c r="AB70" i="8"/>
  <c r="AB75" i="8"/>
  <c r="AB73" i="8"/>
  <c r="AB71" i="8"/>
  <c r="AB76" i="8"/>
  <c r="AB78" i="8"/>
  <c r="AB74" i="8"/>
  <c r="AB79" i="8"/>
  <c r="AB81" i="8"/>
  <c r="AB77" i="8"/>
  <c r="AB82" i="8"/>
  <c r="AB84" i="8"/>
  <c r="AB80" i="8"/>
  <c r="AB85" i="8"/>
  <c r="AB87" i="8"/>
  <c r="AB83" i="8"/>
  <c r="AB88" i="8"/>
  <c r="AB90" i="8"/>
  <c r="AB86" i="8"/>
  <c r="AB89" i="8"/>
  <c r="AB91" i="8"/>
  <c r="AB93" i="8"/>
  <c r="AB94" i="8"/>
  <c r="AB96" i="8"/>
  <c r="AB92" i="8"/>
  <c r="AB99" i="8"/>
  <c r="AB97" i="8"/>
  <c r="AB95" i="8"/>
  <c r="AB102" i="8"/>
  <c r="AB98" i="8"/>
  <c r="AB100" i="8"/>
  <c r="AB105" i="8"/>
  <c r="AB103" i="8"/>
  <c r="AB101" i="8"/>
  <c r="AB108" i="8"/>
  <c r="AB106" i="8"/>
  <c r="AB104" i="8"/>
  <c r="AB111" i="8"/>
  <c r="AB109" i="8"/>
  <c r="AB107" i="8"/>
  <c r="AB110" i="8"/>
  <c r="AB114" i="8"/>
  <c r="AB112" i="8"/>
  <c r="AB115" i="8"/>
  <c r="AB117" i="8"/>
  <c r="AB113" i="8"/>
  <c r="AB116" i="8"/>
  <c r="AB120" i="8"/>
  <c r="AB118" i="8"/>
  <c r="AB119" i="8"/>
  <c r="AB122" i="8"/>
  <c r="AB123" i="8"/>
  <c r="AB121" i="8"/>
  <c r="AB125" i="8"/>
  <c r="AB126" i="8"/>
  <c r="AB124" i="8"/>
  <c r="Y128" i="8" l="1"/>
  <c r="Z128" i="8" s="1"/>
  <c r="Y129" i="8"/>
  <c r="Z129" i="8" s="1"/>
  <c r="Y127" i="8"/>
  <c r="Z127" i="8" s="1"/>
  <c r="N138" i="8"/>
  <c r="E7" i="8" s="1"/>
  <c r="N137" i="8"/>
  <c r="M3" i="8"/>
  <c r="R37" i="8"/>
  <c r="R48" i="8"/>
  <c r="R52" i="8"/>
  <c r="R46" i="8"/>
  <c r="R38" i="8"/>
  <c r="R44" i="8"/>
  <c r="R57" i="8"/>
  <c r="R39" i="8"/>
  <c r="R53" i="8"/>
  <c r="R42" i="8"/>
  <c r="R51" i="8"/>
  <c r="R55" i="8"/>
  <c r="R54" i="8"/>
  <c r="R33" i="8"/>
  <c r="R40" i="8"/>
  <c r="R47" i="8"/>
  <c r="R31" i="8"/>
  <c r="R41" i="8"/>
  <c r="R56" i="8"/>
  <c r="R30" i="8"/>
  <c r="R36" i="8"/>
  <c r="R45" i="8"/>
  <c r="R49" i="8"/>
  <c r="R34" i="8"/>
  <c r="R32" i="8"/>
  <c r="R35" i="8"/>
  <c r="R43" i="8"/>
  <c r="R50" i="8"/>
  <c r="R60" i="8"/>
  <c r="R58" i="8"/>
  <c r="R59" i="8"/>
  <c r="R63" i="8"/>
  <c r="R61" i="8"/>
  <c r="R64" i="8"/>
  <c r="R62" i="8"/>
  <c r="R66" i="8"/>
  <c r="R67" i="8"/>
  <c r="R69" i="8"/>
  <c r="R65" i="8"/>
  <c r="R72" i="8"/>
  <c r="R68" i="8"/>
  <c r="R70" i="8"/>
  <c r="R75" i="8"/>
  <c r="R71" i="8"/>
  <c r="R73" i="8"/>
  <c r="R74" i="8"/>
  <c r="R78" i="8"/>
  <c r="R76" i="8"/>
  <c r="R79" i="8"/>
  <c r="R77" i="8"/>
  <c r="R81" i="8"/>
  <c r="R82" i="8"/>
  <c r="R80" i="8"/>
  <c r="R84" i="8"/>
  <c r="R83" i="8"/>
  <c r="R87" i="8"/>
  <c r="R85" i="8"/>
  <c r="R86" i="8"/>
  <c r="R90" i="8"/>
  <c r="R88" i="8"/>
  <c r="R93" i="8"/>
  <c r="R91" i="8"/>
  <c r="R89" i="8"/>
  <c r="R92" i="8"/>
  <c r="R94" i="8"/>
  <c r="R96" i="8"/>
  <c r="R97" i="8"/>
  <c r="R99" i="8"/>
  <c r="R95" i="8"/>
  <c r="R100" i="8"/>
  <c r="R98" i="8"/>
  <c r="R102" i="8"/>
  <c r="R105" i="8"/>
  <c r="R103" i="8"/>
  <c r="R101" i="8"/>
  <c r="R104" i="8"/>
  <c r="R106" i="8"/>
  <c r="R108" i="8"/>
  <c r="R107" i="8"/>
  <c r="R111" i="8"/>
  <c r="R109" i="8"/>
  <c r="R112" i="8"/>
  <c r="R114" i="8"/>
  <c r="R110" i="8"/>
  <c r="R115" i="8"/>
  <c r="R117" i="8"/>
  <c r="R113" i="8"/>
  <c r="R120" i="8"/>
  <c r="R118" i="8"/>
  <c r="R116" i="8"/>
  <c r="R119" i="8"/>
  <c r="R123" i="8"/>
  <c r="R121" i="8"/>
  <c r="R122" i="8"/>
  <c r="R124" i="8"/>
  <c r="R125" i="8"/>
  <c r="V126" i="8" l="1"/>
  <c r="W126" i="8" s="1"/>
  <c r="V127" i="8"/>
  <c r="W127" i="8" s="1"/>
  <c r="V129" i="8"/>
  <c r="W129" i="8" s="1"/>
  <c r="V128" i="8"/>
  <c r="W128" i="8" s="1"/>
  <c r="AC127" i="8"/>
  <c r="AC128" i="8"/>
  <c r="AB138" i="8"/>
  <c r="AC138" i="8" s="1"/>
  <c r="Y138" i="8"/>
  <c r="Z138" i="8" s="1"/>
  <c r="V138" i="8"/>
  <c r="W138" i="8" s="1"/>
  <c r="V28" i="8"/>
  <c r="AB29" i="8"/>
  <c r="Y29" i="8"/>
  <c r="AB28" i="8"/>
  <c r="S29" i="8"/>
  <c r="R29" i="8" s="1"/>
  <c r="Y28" i="8"/>
  <c r="V29" i="8"/>
  <c r="S28" i="8"/>
  <c r="R28" i="8" s="1"/>
  <c r="R127" i="8"/>
  <c r="S129" i="8"/>
  <c r="T129" i="8" s="1"/>
  <c r="R126" i="8"/>
  <c r="AB130" i="8"/>
  <c r="AC130" i="8" s="1"/>
  <c r="Y132" i="8"/>
  <c r="Z132" i="8" s="1"/>
  <c r="AB132" i="8"/>
  <c r="AC132" i="8" s="1"/>
  <c r="V132" i="8"/>
  <c r="W132" i="8" s="1"/>
  <c r="S130" i="8"/>
  <c r="R130" i="8" s="1"/>
  <c r="Y130" i="8"/>
  <c r="Z130" i="8" s="1"/>
  <c r="S132" i="8"/>
  <c r="T132" i="8" s="1"/>
  <c r="V130" i="8"/>
  <c r="W130" i="8" s="1"/>
  <c r="S135" i="8"/>
  <c r="R135" i="8" s="1"/>
  <c r="AB133" i="8"/>
  <c r="AC133" i="8" s="1"/>
  <c r="AB135" i="8"/>
  <c r="AC135" i="8" s="1"/>
  <c r="V135" i="8"/>
  <c r="W135" i="8" s="1"/>
  <c r="V133" i="8"/>
  <c r="W133" i="8" s="1"/>
  <c r="Y131" i="8"/>
  <c r="Z131" i="8" s="1"/>
  <c r="S131" i="8"/>
  <c r="T131" i="8" s="1"/>
  <c r="V131" i="8"/>
  <c r="W131" i="8" s="1"/>
  <c r="AB131" i="8"/>
  <c r="AC131" i="8" s="1"/>
  <c r="Y135" i="8"/>
  <c r="Z135" i="8" s="1"/>
  <c r="S133" i="8"/>
  <c r="R133" i="8" s="1"/>
  <c r="Y133" i="8"/>
  <c r="Z133" i="8" s="1"/>
  <c r="S134" i="8"/>
  <c r="R134" i="8" s="1"/>
  <c r="V134" i="8"/>
  <c r="W134" i="8" s="1"/>
  <c r="V136" i="8"/>
  <c r="W136" i="8" s="1"/>
  <c r="Y134" i="8"/>
  <c r="Z134" i="8" s="1"/>
  <c r="S136" i="8"/>
  <c r="R136" i="8" s="1"/>
  <c r="AB134" i="8"/>
  <c r="AC134" i="8" s="1"/>
  <c r="AB136" i="8"/>
  <c r="AC136" i="8" s="1"/>
  <c r="Y136" i="8"/>
  <c r="Z136" i="8" s="1"/>
  <c r="S138" i="8"/>
  <c r="R138" i="8" s="1"/>
  <c r="V137" i="8"/>
  <c r="W137" i="8" s="1"/>
  <c r="S137" i="8"/>
  <c r="R137" i="8" s="1"/>
  <c r="Y137" i="8"/>
  <c r="Z137" i="8" s="1"/>
  <c r="AB137" i="8"/>
  <c r="AC137" i="8" s="1"/>
  <c r="O5" i="8"/>
  <c r="AC107" i="8"/>
  <c r="AA98" i="8"/>
  <c r="AA96" i="8"/>
  <c r="AC85" i="8"/>
  <c r="AA124" i="8"/>
  <c r="AA63" i="8"/>
  <c r="AC78" i="8"/>
  <c r="AC69" i="8"/>
  <c r="AC118" i="8"/>
  <c r="AA52" i="8"/>
  <c r="AA44" i="8"/>
  <c r="AA115" i="8"/>
  <c r="AC111" i="8"/>
  <c r="AC102" i="8"/>
  <c r="AA89" i="8"/>
  <c r="AC83" i="8"/>
  <c r="AC76" i="8"/>
  <c r="AC67" i="8"/>
  <c r="AA56" i="8"/>
  <c r="AA54" i="8"/>
  <c r="AA41" i="8"/>
  <c r="AC34" i="8"/>
  <c r="AC122" i="8"/>
  <c r="AC113" i="8"/>
  <c r="AC108" i="8"/>
  <c r="AC100" i="8"/>
  <c r="AC91" i="8"/>
  <c r="AA84" i="8"/>
  <c r="AC74" i="8"/>
  <c r="AC72" i="8"/>
  <c r="AC59" i="8"/>
  <c r="AC50" i="8"/>
  <c r="AC43" i="8"/>
  <c r="AC36" i="8"/>
  <c r="AA119" i="8"/>
  <c r="AC117" i="8"/>
  <c r="AA106" i="8"/>
  <c r="AA95" i="8"/>
  <c r="AC93" i="8"/>
  <c r="AC80" i="8"/>
  <c r="AC75" i="8"/>
  <c r="AC64" i="8"/>
  <c r="AA60" i="8"/>
  <c r="AA47" i="8"/>
  <c r="AC45" i="8"/>
  <c r="AC31" i="8"/>
  <c r="AC123" i="8"/>
  <c r="AC112" i="8"/>
  <c r="AC104" i="8"/>
  <c r="AA99" i="8"/>
  <c r="AC88" i="8"/>
  <c r="AC82" i="8"/>
  <c r="AC73" i="8"/>
  <c r="AC66" i="8"/>
  <c r="AC58" i="8"/>
  <c r="AC49" i="8"/>
  <c r="AA42" i="8"/>
  <c r="AC30" i="8"/>
  <c r="AC121" i="8"/>
  <c r="AC110" i="8"/>
  <c r="AC103" i="8"/>
  <c r="AC97" i="8"/>
  <c r="AC90" i="8"/>
  <c r="AC79" i="8"/>
  <c r="AA68" i="8"/>
  <c r="AA65" i="8"/>
  <c r="AC53" i="8"/>
  <c r="AC51" i="8"/>
  <c r="AC39" i="8"/>
  <c r="Y42" i="8"/>
  <c r="X42" i="8" s="1"/>
  <c r="AC35" i="8"/>
  <c r="G7" i="8"/>
  <c r="G9" i="8" s="1"/>
  <c r="D27" i="6" s="1"/>
  <c r="AC120" i="8"/>
  <c r="AA114" i="8"/>
  <c r="AC101" i="8"/>
  <c r="AA92" i="8"/>
  <c r="AC86" i="8"/>
  <c r="AC81" i="8"/>
  <c r="AC71" i="8"/>
  <c r="AC62" i="8"/>
  <c r="AC57" i="8"/>
  <c r="AA46" i="8"/>
  <c r="AC38" i="8"/>
  <c r="I7" i="8"/>
  <c r="E40" i="6" s="1"/>
  <c r="AC125" i="8"/>
  <c r="AC116" i="8"/>
  <c r="AC109" i="8"/>
  <c r="AC105" i="8"/>
  <c r="AC94" i="8"/>
  <c r="AC87" i="8"/>
  <c r="AA77" i="8"/>
  <c r="AC70" i="8"/>
  <c r="AC61" i="8"/>
  <c r="AC55" i="8"/>
  <c r="AA48" i="8"/>
  <c r="AC37" i="8"/>
  <c r="AA40" i="8"/>
  <c r="AC33" i="8"/>
  <c r="AC32" i="8"/>
  <c r="L5" i="8"/>
  <c r="M5" i="8" s="1"/>
  <c r="V37" i="8"/>
  <c r="V45" i="8"/>
  <c r="V53" i="8"/>
  <c r="V61" i="8"/>
  <c r="V69" i="8"/>
  <c r="V77" i="8"/>
  <c r="V85" i="8"/>
  <c r="V93" i="8"/>
  <c r="V101" i="8"/>
  <c r="V109" i="8"/>
  <c r="V117" i="8"/>
  <c r="V125" i="8"/>
  <c r="V49" i="8"/>
  <c r="V89" i="8"/>
  <c r="V58" i="8"/>
  <c r="V98" i="8"/>
  <c r="V43" i="8"/>
  <c r="V67" i="8"/>
  <c r="V99" i="8"/>
  <c r="V38" i="8"/>
  <c r="V46" i="8"/>
  <c r="V54" i="8"/>
  <c r="V62" i="8"/>
  <c r="V70" i="8"/>
  <c r="V78" i="8"/>
  <c r="V86" i="8"/>
  <c r="V94" i="8"/>
  <c r="V102" i="8"/>
  <c r="V110" i="8"/>
  <c r="V118" i="8"/>
  <c r="V57" i="8"/>
  <c r="V97" i="8"/>
  <c r="V31" i="8"/>
  <c r="V39" i="8"/>
  <c r="V47" i="8"/>
  <c r="V55" i="8"/>
  <c r="V63" i="8"/>
  <c r="V71" i="8"/>
  <c r="V79" i="8"/>
  <c r="V87" i="8"/>
  <c r="V95" i="8"/>
  <c r="V103" i="8"/>
  <c r="V111" i="8"/>
  <c r="V119" i="8"/>
  <c r="V33" i="8"/>
  <c r="V65" i="8"/>
  <c r="V105" i="8"/>
  <c r="V42" i="8"/>
  <c r="V74" i="8"/>
  <c r="V106" i="8"/>
  <c r="V51" i="8"/>
  <c r="V83" i="8"/>
  <c r="V107" i="8"/>
  <c r="V32" i="8"/>
  <c r="V40" i="8"/>
  <c r="V48" i="8"/>
  <c r="V56" i="8"/>
  <c r="V64" i="8"/>
  <c r="V72" i="8"/>
  <c r="V80" i="8"/>
  <c r="V88" i="8"/>
  <c r="V96" i="8"/>
  <c r="V104" i="8"/>
  <c r="V112" i="8"/>
  <c r="V120" i="8"/>
  <c r="V30" i="8"/>
  <c r="V73" i="8"/>
  <c r="V113" i="8"/>
  <c r="V50" i="8"/>
  <c r="V82" i="8"/>
  <c r="V114" i="8"/>
  <c r="V75" i="8"/>
  <c r="V123" i="8"/>
  <c r="V41" i="8"/>
  <c r="V81" i="8"/>
  <c r="V121" i="8"/>
  <c r="V34" i="8"/>
  <c r="V66" i="8"/>
  <c r="V90" i="8"/>
  <c r="V122" i="8"/>
  <c r="V35" i="8"/>
  <c r="V59" i="8"/>
  <c r="V91" i="8"/>
  <c r="V115" i="8"/>
  <c r="V76" i="8"/>
  <c r="V84" i="8"/>
  <c r="V92" i="8"/>
  <c r="V52" i="8"/>
  <c r="V116" i="8"/>
  <c r="V124" i="8"/>
  <c r="V68" i="8"/>
  <c r="V36" i="8"/>
  <c r="V100" i="8"/>
  <c r="V44" i="8"/>
  <c r="V108" i="8"/>
  <c r="V60" i="8"/>
  <c r="T123" i="8"/>
  <c r="T110" i="8"/>
  <c r="T104" i="8"/>
  <c r="T99" i="8"/>
  <c r="T88" i="8"/>
  <c r="T82" i="8"/>
  <c r="T71" i="8"/>
  <c r="T66" i="8"/>
  <c r="T50" i="8"/>
  <c r="T30" i="8"/>
  <c r="T55" i="8"/>
  <c r="T57" i="8"/>
  <c r="T48" i="8"/>
  <c r="T90" i="8"/>
  <c r="T81" i="8"/>
  <c r="T75" i="8"/>
  <c r="T62" i="8"/>
  <c r="T43" i="8"/>
  <c r="T56" i="8"/>
  <c r="T51" i="8"/>
  <c r="T44" i="8"/>
  <c r="T37" i="8"/>
  <c r="T101" i="8"/>
  <c r="T116" i="8"/>
  <c r="T103" i="8"/>
  <c r="T96" i="8"/>
  <c r="T86" i="8"/>
  <c r="T77" i="8"/>
  <c r="T70" i="8"/>
  <c r="T64" i="8"/>
  <c r="T35" i="8"/>
  <c r="T41" i="8"/>
  <c r="T42" i="8"/>
  <c r="T38" i="8"/>
  <c r="T97" i="8"/>
  <c r="T112" i="8"/>
  <c r="T125" i="8"/>
  <c r="T118" i="8"/>
  <c r="T109" i="8"/>
  <c r="T105" i="8"/>
  <c r="T94" i="8"/>
  <c r="T85" i="8"/>
  <c r="T79" i="8"/>
  <c r="T68" i="8"/>
  <c r="T61" i="8"/>
  <c r="T32" i="8"/>
  <c r="T31" i="8"/>
  <c r="T124" i="8"/>
  <c r="T92" i="8"/>
  <c r="T87" i="8"/>
  <c r="T76" i="8"/>
  <c r="T72" i="8"/>
  <c r="T63" i="8"/>
  <c r="T34" i="8"/>
  <c r="T47" i="8"/>
  <c r="T46" i="8"/>
  <c r="T120" i="8"/>
  <c r="T107" i="8"/>
  <c r="T98" i="8"/>
  <c r="T89" i="8"/>
  <c r="T83" i="8"/>
  <c r="T78" i="8"/>
  <c r="T65" i="8"/>
  <c r="T59" i="8"/>
  <c r="T49" i="8"/>
  <c r="T40" i="8"/>
  <c r="T53" i="8"/>
  <c r="D82" i="6"/>
  <c r="J82" i="6" s="1"/>
  <c r="T119" i="8"/>
  <c r="T102" i="8"/>
  <c r="T117" i="8"/>
  <c r="T108" i="8"/>
  <c r="T100" i="8"/>
  <c r="T91" i="8"/>
  <c r="T84" i="8"/>
  <c r="T74" i="8"/>
  <c r="T69" i="8"/>
  <c r="T58" i="8"/>
  <c r="T45" i="8"/>
  <c r="T33" i="8"/>
  <c r="T39" i="8"/>
  <c r="T114" i="8"/>
  <c r="T111" i="8"/>
  <c r="T113" i="8"/>
  <c r="T122" i="8"/>
  <c r="T121" i="8"/>
  <c r="T115" i="8"/>
  <c r="T106" i="8"/>
  <c r="T95" i="8"/>
  <c r="T93" i="8"/>
  <c r="T80" i="8"/>
  <c r="T73" i="8"/>
  <c r="T67" i="8"/>
  <c r="T60" i="8"/>
  <c r="T36" i="8"/>
  <c r="T54" i="8"/>
  <c r="T52" i="8"/>
  <c r="AC129" i="8" l="1"/>
  <c r="R3" i="8"/>
  <c r="E62" i="6" s="1"/>
  <c r="AA138" i="8"/>
  <c r="AC126" i="8"/>
  <c r="AA128" i="8"/>
  <c r="AA131" i="8"/>
  <c r="AA136" i="8"/>
  <c r="W29" i="8"/>
  <c r="U29" i="8"/>
  <c r="Z28" i="8"/>
  <c r="X28" i="8"/>
  <c r="AC28" i="8"/>
  <c r="AA28" i="8"/>
  <c r="Z29" i="8"/>
  <c r="X29" i="8"/>
  <c r="AA130" i="8"/>
  <c r="AC29" i="8"/>
  <c r="AA29" i="8"/>
  <c r="W28" i="8"/>
  <c r="U28" i="8"/>
  <c r="T138" i="8"/>
  <c r="AC98" i="8"/>
  <c r="AA91" i="8"/>
  <c r="X137" i="8"/>
  <c r="X130" i="8"/>
  <c r="AA64" i="8"/>
  <c r="AA126" i="8"/>
  <c r="AA108" i="8"/>
  <c r="AC52" i="8"/>
  <c r="Y70" i="8"/>
  <c r="Z70" i="8" s="1"/>
  <c r="Y106" i="8"/>
  <c r="X106" i="8" s="1"/>
  <c r="AA76" i="8"/>
  <c r="Y44" i="8"/>
  <c r="Z44" i="8" s="1"/>
  <c r="AA43" i="8"/>
  <c r="Y37" i="8"/>
  <c r="Z37" i="8" s="1"/>
  <c r="Y103" i="8"/>
  <c r="X103" i="8" s="1"/>
  <c r="Y90" i="8"/>
  <c r="Z90" i="8" s="1"/>
  <c r="AA80" i="8"/>
  <c r="D26" i="6"/>
  <c r="D86" i="6" s="1"/>
  <c r="J86" i="6" s="1"/>
  <c r="Y69" i="8"/>
  <c r="Z69" i="8" s="1"/>
  <c r="Y113" i="8"/>
  <c r="Z113" i="8" s="1"/>
  <c r="Y57" i="8"/>
  <c r="Z57" i="8" s="1"/>
  <c r="Y59" i="8"/>
  <c r="X59" i="8" s="1"/>
  <c r="Y83" i="8"/>
  <c r="Z83" i="8" s="1"/>
  <c r="Y110" i="8"/>
  <c r="Z110" i="8" s="1"/>
  <c r="Y108" i="8"/>
  <c r="Z108" i="8" s="1"/>
  <c r="Y102" i="8"/>
  <c r="Z102" i="8" s="1"/>
  <c r="Y101" i="8"/>
  <c r="Z101" i="8" s="1"/>
  <c r="AC42" i="8"/>
  <c r="Y36" i="8"/>
  <c r="Z36" i="8" s="1"/>
  <c r="Y64" i="8"/>
  <c r="X64" i="8" s="1"/>
  <c r="AA79" i="8"/>
  <c r="AA116" i="8"/>
  <c r="AA85" i="8"/>
  <c r="AA104" i="8"/>
  <c r="AC56" i="8"/>
  <c r="Y116" i="8"/>
  <c r="Z116" i="8" s="1"/>
  <c r="Y51" i="8"/>
  <c r="Z51" i="8" s="1"/>
  <c r="Y120" i="8"/>
  <c r="Z120" i="8" s="1"/>
  <c r="Y121" i="8"/>
  <c r="Z121" i="8" s="1"/>
  <c r="Y73" i="8"/>
  <c r="Z73" i="8" s="1"/>
  <c r="Y60" i="8"/>
  <c r="Z60" i="8" s="1"/>
  <c r="Y50" i="8"/>
  <c r="Z50" i="8" s="1"/>
  <c r="Y71" i="8"/>
  <c r="Z71" i="8" s="1"/>
  <c r="Y92" i="8"/>
  <c r="X92" i="8" s="1"/>
  <c r="Y35" i="8"/>
  <c r="Z35" i="8" s="1"/>
  <c r="Y56" i="8"/>
  <c r="Z56" i="8" s="1"/>
  <c r="AA97" i="8"/>
  <c r="Y53" i="8"/>
  <c r="X53" i="8" s="1"/>
  <c r="Y93" i="8"/>
  <c r="Z93" i="8" s="1"/>
  <c r="Y49" i="8"/>
  <c r="X49" i="8" s="1"/>
  <c r="Y75" i="8"/>
  <c r="Z75" i="8" s="1"/>
  <c r="AC115" i="8"/>
  <c r="AC54" i="8"/>
  <c r="Y95" i="8"/>
  <c r="Z95" i="8" s="1"/>
  <c r="Y122" i="8"/>
  <c r="Z122" i="8" s="1"/>
  <c r="Y124" i="8"/>
  <c r="Z124" i="8" s="1"/>
  <c r="Y62" i="8"/>
  <c r="Z62" i="8" s="1"/>
  <c r="Y109" i="8"/>
  <c r="Z109" i="8" s="1"/>
  <c r="Y85" i="8"/>
  <c r="Z85" i="8" s="1"/>
  <c r="Y94" i="8"/>
  <c r="Z94" i="8" s="1"/>
  <c r="Y114" i="8"/>
  <c r="Z114" i="8" s="1"/>
  <c r="Y61" i="8"/>
  <c r="X61" i="8" s="1"/>
  <c r="Y80" i="8"/>
  <c r="Z80" i="8" s="1"/>
  <c r="Y115" i="8"/>
  <c r="Z115" i="8" s="1"/>
  <c r="Y119" i="8"/>
  <c r="Z119" i="8" s="1"/>
  <c r="Y111" i="8"/>
  <c r="Z111" i="8" s="1"/>
  <c r="Y40" i="8"/>
  <c r="Z40" i="8" s="1"/>
  <c r="Y81" i="8"/>
  <c r="X81" i="8" s="1"/>
  <c r="Y72" i="8"/>
  <c r="Z72" i="8" s="1"/>
  <c r="Y66" i="8"/>
  <c r="Z66" i="8" s="1"/>
  <c r="Y89" i="8"/>
  <c r="X89" i="8" s="1"/>
  <c r="Y78" i="8"/>
  <c r="Z78" i="8" s="1"/>
  <c r="Y79" i="8"/>
  <c r="Z79" i="8" s="1"/>
  <c r="Y100" i="8"/>
  <c r="X100" i="8" s="1"/>
  <c r="AC119" i="8"/>
  <c r="Y86" i="8"/>
  <c r="Z86" i="8" s="1"/>
  <c r="Y32" i="8"/>
  <c r="X32" i="8" s="1"/>
  <c r="Y82" i="8"/>
  <c r="X82" i="8" s="1"/>
  <c r="Y38" i="8"/>
  <c r="Z38" i="8" s="1"/>
  <c r="Y48" i="8"/>
  <c r="Z48" i="8" s="1"/>
  <c r="Y97" i="8"/>
  <c r="Z97" i="8" s="1"/>
  <c r="Y84" i="8"/>
  <c r="X84" i="8" s="1"/>
  <c r="Y107" i="8"/>
  <c r="X107" i="8" s="1"/>
  <c r="Y58" i="8"/>
  <c r="Z58" i="8" s="1"/>
  <c r="Y67" i="8"/>
  <c r="Z67" i="8" s="1"/>
  <c r="AA58" i="8"/>
  <c r="Y41" i="8"/>
  <c r="Z41" i="8" s="1"/>
  <c r="Y39" i="8"/>
  <c r="Z39" i="8" s="1"/>
  <c r="Y77" i="8"/>
  <c r="Z77" i="8" s="1"/>
  <c r="Y45" i="8"/>
  <c r="Z45" i="8" s="1"/>
  <c r="Y68" i="8"/>
  <c r="Z68" i="8" s="1"/>
  <c r="Y104" i="8"/>
  <c r="Z104" i="8" s="1"/>
  <c r="Y88" i="8"/>
  <c r="Z88" i="8" s="1"/>
  <c r="Y30" i="8"/>
  <c r="X30" i="8" s="1"/>
  <c r="Y46" i="8"/>
  <c r="Z46" i="8" s="1"/>
  <c r="Y55" i="8"/>
  <c r="Z55" i="8" s="1"/>
  <c r="Y74" i="8"/>
  <c r="Z74" i="8" s="1"/>
  <c r="Y76" i="8"/>
  <c r="X76" i="8" s="1"/>
  <c r="Y34" i="8"/>
  <c r="Z34" i="8" s="1"/>
  <c r="Y123" i="8"/>
  <c r="Z123" i="8" s="1"/>
  <c r="Y96" i="8"/>
  <c r="Z96" i="8" s="1"/>
  <c r="Y91" i="8"/>
  <c r="Z91" i="8" s="1"/>
  <c r="Y63" i="8"/>
  <c r="X63" i="8" s="1"/>
  <c r="Y112" i="8"/>
  <c r="Z112" i="8" s="1"/>
  <c r="Y87" i="8"/>
  <c r="Z87" i="8" s="1"/>
  <c r="Y98" i="8"/>
  <c r="Z98" i="8" s="1"/>
  <c r="Y118" i="8"/>
  <c r="Z118" i="8" s="1"/>
  <c r="Y65" i="8"/>
  <c r="Z65" i="8" s="1"/>
  <c r="Y125" i="8"/>
  <c r="Z125" i="8" s="1"/>
  <c r="AA123" i="8"/>
  <c r="AC124" i="8"/>
  <c r="AC99" i="8"/>
  <c r="AC68" i="8"/>
  <c r="AC84" i="8"/>
  <c r="AC60" i="8"/>
  <c r="AA83" i="8"/>
  <c r="AA71" i="8"/>
  <c r="AA93" i="8"/>
  <c r="T29" i="8"/>
  <c r="T133" i="8"/>
  <c r="AA107" i="8"/>
  <c r="AA118" i="8"/>
  <c r="AA50" i="8"/>
  <c r="AC106" i="8"/>
  <c r="AA55" i="8"/>
  <c r="AA111" i="8"/>
  <c r="AA133" i="8"/>
  <c r="Y31" i="8"/>
  <c r="X31" i="8" s="1"/>
  <c r="Y52" i="8"/>
  <c r="X52" i="8" s="1"/>
  <c r="Y117" i="8"/>
  <c r="Z117" i="8" s="1"/>
  <c r="Y33" i="8"/>
  <c r="X33" i="8" s="1"/>
  <c r="Y105" i="8"/>
  <c r="X105" i="8" s="1"/>
  <c r="Y54" i="8"/>
  <c r="Z54" i="8" s="1"/>
  <c r="Y43" i="8"/>
  <c r="Z43" i="8" s="1"/>
  <c r="Y99" i="8"/>
  <c r="Z99" i="8" s="1"/>
  <c r="Y47" i="8"/>
  <c r="Z47" i="8" s="1"/>
  <c r="AA34" i="8"/>
  <c r="AC46" i="8"/>
  <c r="AC63" i="8"/>
  <c r="AC47" i="8"/>
  <c r="AC41" i="8"/>
  <c r="AA117" i="8"/>
  <c r="AA74" i="8"/>
  <c r="AA70" i="8"/>
  <c r="AC77" i="8"/>
  <c r="AA120" i="8"/>
  <c r="T134" i="8"/>
  <c r="AA109" i="8"/>
  <c r="AA135" i="8"/>
  <c r="AC44" i="8"/>
  <c r="AA30" i="8"/>
  <c r="AC65" i="8"/>
  <c r="AA88" i="8"/>
  <c r="AC96" i="8"/>
  <c r="AA57" i="8"/>
  <c r="AA94" i="8"/>
  <c r="AC114" i="8"/>
  <c r="AA62" i="8"/>
  <c r="AC48" i="8"/>
  <c r="AA105" i="8"/>
  <c r="AA37" i="8"/>
  <c r="AA102" i="8"/>
  <c r="AA69" i="8"/>
  <c r="AA82" i="8"/>
  <c r="AA78" i="8"/>
  <c r="AA45" i="8"/>
  <c r="AA72" i="8"/>
  <c r="AA53" i="8"/>
  <c r="AA121" i="8"/>
  <c r="AA122" i="8"/>
  <c r="AC95" i="8"/>
  <c r="AC89" i="8"/>
  <c r="AA101" i="8"/>
  <c r="AA51" i="8"/>
  <c r="AA38" i="8"/>
  <c r="AA87" i="8"/>
  <c r="AA66" i="8"/>
  <c r="AA31" i="8"/>
  <c r="AA103" i="8"/>
  <c r="AA73" i="8"/>
  <c r="AA110" i="8"/>
  <c r="AA59" i="8"/>
  <c r="AA86" i="8"/>
  <c r="AA127" i="8"/>
  <c r="AC92" i="8"/>
  <c r="AA137" i="8"/>
  <c r="AA134" i="8"/>
  <c r="AA39" i="8"/>
  <c r="T137" i="8"/>
  <c r="AA67" i="8"/>
  <c r="AA90" i="8"/>
  <c r="AA113" i="8"/>
  <c r="AA35" i="8"/>
  <c r="AA81" i="8"/>
  <c r="AA132" i="8"/>
  <c r="AA36" i="8"/>
  <c r="AA61" i="8"/>
  <c r="AA125" i="8"/>
  <c r="AA49" i="8"/>
  <c r="AA112" i="8"/>
  <c r="AA75" i="8"/>
  <c r="AA100" i="8"/>
  <c r="T28" i="8"/>
  <c r="T135" i="8"/>
  <c r="AA32" i="8"/>
  <c r="AA129" i="8"/>
  <c r="AA33" i="8"/>
  <c r="T130" i="8"/>
  <c r="R128" i="8"/>
  <c r="AC40" i="8"/>
  <c r="T136" i="8"/>
  <c r="R129" i="8"/>
  <c r="R132" i="8"/>
  <c r="R131" i="8"/>
  <c r="U136" i="8"/>
  <c r="U129" i="8"/>
  <c r="U130" i="8"/>
  <c r="U138" i="8"/>
  <c r="U126" i="8"/>
  <c r="Z42" i="8"/>
  <c r="W106" i="8"/>
  <c r="U106" i="8"/>
  <c r="W57" i="8"/>
  <c r="U57" i="8"/>
  <c r="W48" i="8"/>
  <c r="U48" i="8"/>
  <c r="W81" i="8"/>
  <c r="U81" i="8"/>
  <c r="W86" i="8"/>
  <c r="U86" i="8"/>
  <c r="W87" i="8"/>
  <c r="U87" i="8"/>
  <c r="W98" i="8"/>
  <c r="U98" i="8"/>
  <c r="W34" i="8"/>
  <c r="U34" i="8"/>
  <c r="W91" i="8"/>
  <c r="U91" i="8"/>
  <c r="W61" i="8"/>
  <c r="U61" i="8"/>
  <c r="W71" i="8"/>
  <c r="U71" i="8"/>
  <c r="W70" i="8"/>
  <c r="U70" i="8"/>
  <c r="W118" i="8"/>
  <c r="U118" i="8"/>
  <c r="W88" i="8"/>
  <c r="U88" i="8"/>
  <c r="W84" i="8"/>
  <c r="U84" i="8"/>
  <c r="W68" i="8"/>
  <c r="U68" i="8"/>
  <c r="W67" i="8"/>
  <c r="U67" i="8"/>
  <c r="W124" i="8"/>
  <c r="U124" i="8"/>
  <c r="W79" i="8"/>
  <c r="U79" i="8"/>
  <c r="W105" i="8"/>
  <c r="U105" i="8"/>
  <c r="W78" i="8"/>
  <c r="U78" i="8"/>
  <c r="W122" i="8"/>
  <c r="U122" i="8"/>
  <c r="W58" i="8"/>
  <c r="U58" i="8"/>
  <c r="W115" i="8"/>
  <c r="U115" i="8"/>
  <c r="W51" i="8"/>
  <c r="U51" i="8"/>
  <c r="W69" i="8"/>
  <c r="U69" i="8"/>
  <c r="W62" i="8"/>
  <c r="U62" i="8"/>
  <c r="W60" i="8"/>
  <c r="U60" i="8"/>
  <c r="W99" i="8"/>
  <c r="U99" i="8"/>
  <c r="W72" i="8"/>
  <c r="U72" i="8"/>
  <c r="W65" i="8"/>
  <c r="U65" i="8"/>
  <c r="W109" i="8"/>
  <c r="U109" i="8"/>
  <c r="W45" i="8"/>
  <c r="U45" i="8"/>
  <c r="W108" i="8"/>
  <c r="U108" i="8"/>
  <c r="W44" i="8"/>
  <c r="U44" i="8"/>
  <c r="W63" i="8"/>
  <c r="U63" i="8"/>
  <c r="W55" i="8"/>
  <c r="U55" i="8"/>
  <c r="W82" i="8"/>
  <c r="U82" i="8"/>
  <c r="W113" i="8"/>
  <c r="U113" i="8"/>
  <c r="W49" i="8"/>
  <c r="U49" i="8"/>
  <c r="W54" i="8"/>
  <c r="U54" i="8"/>
  <c r="W66" i="8"/>
  <c r="U66" i="8"/>
  <c r="W123" i="8"/>
  <c r="U123" i="8"/>
  <c r="W59" i="8"/>
  <c r="U59" i="8"/>
  <c r="W103" i="8"/>
  <c r="U103" i="8"/>
  <c r="W39" i="8"/>
  <c r="U39" i="8"/>
  <c r="W102" i="8"/>
  <c r="U102" i="8"/>
  <c r="W38" i="8"/>
  <c r="U38" i="8"/>
  <c r="W120" i="8"/>
  <c r="U120" i="8"/>
  <c r="W56" i="8"/>
  <c r="U56" i="8"/>
  <c r="W73" i="8"/>
  <c r="U73" i="8"/>
  <c r="W30" i="8"/>
  <c r="U30" i="8"/>
  <c r="W107" i="8"/>
  <c r="U107" i="8"/>
  <c r="W43" i="8"/>
  <c r="U43" i="8"/>
  <c r="W41" i="8"/>
  <c r="U41" i="8"/>
  <c r="W117" i="8"/>
  <c r="U117" i="8"/>
  <c r="W53" i="8"/>
  <c r="U53" i="8"/>
  <c r="W116" i="8"/>
  <c r="U116" i="8"/>
  <c r="W52" i="8"/>
  <c r="U52" i="8"/>
  <c r="W96" i="8"/>
  <c r="U96" i="8"/>
  <c r="W32" i="8"/>
  <c r="U32" i="8"/>
  <c r="W89" i="8"/>
  <c r="U89" i="8"/>
  <c r="W125" i="8"/>
  <c r="U125" i="8"/>
  <c r="W114" i="8"/>
  <c r="U114" i="8"/>
  <c r="W50" i="8"/>
  <c r="U50" i="8"/>
  <c r="W75" i="8"/>
  <c r="U75" i="8"/>
  <c r="W64" i="8"/>
  <c r="U64" i="8"/>
  <c r="W112" i="8"/>
  <c r="U112" i="8"/>
  <c r="W100" i="8"/>
  <c r="U100" i="8"/>
  <c r="W36" i="8"/>
  <c r="U36" i="8"/>
  <c r="W35" i="8"/>
  <c r="U35" i="8"/>
  <c r="W111" i="8"/>
  <c r="U111" i="8"/>
  <c r="W47" i="8"/>
  <c r="U47" i="8"/>
  <c r="W110" i="8"/>
  <c r="U110" i="8"/>
  <c r="W46" i="8"/>
  <c r="U46" i="8"/>
  <c r="W90" i="8"/>
  <c r="U90" i="8"/>
  <c r="W119" i="8"/>
  <c r="U119" i="8"/>
  <c r="W83" i="8"/>
  <c r="U83" i="8"/>
  <c r="W93" i="8"/>
  <c r="U93" i="8"/>
  <c r="W101" i="8"/>
  <c r="U101" i="8"/>
  <c r="W37" i="8"/>
  <c r="U37" i="8"/>
  <c r="W85" i="8"/>
  <c r="U85" i="8"/>
  <c r="W121" i="8"/>
  <c r="U121" i="8"/>
  <c r="W80" i="8"/>
  <c r="U80" i="8"/>
  <c r="W94" i="8"/>
  <c r="U94" i="8"/>
  <c r="W92" i="8"/>
  <c r="U92" i="8"/>
  <c r="W104" i="8"/>
  <c r="U104" i="8"/>
  <c r="W40" i="8"/>
  <c r="U40" i="8"/>
  <c r="W97" i="8"/>
  <c r="U97" i="8"/>
  <c r="W33" i="8"/>
  <c r="U33" i="8"/>
  <c r="W77" i="8"/>
  <c r="U77" i="8"/>
  <c r="W74" i="8"/>
  <c r="U74" i="8"/>
  <c r="W76" i="8"/>
  <c r="U76" i="8"/>
  <c r="W42" i="8"/>
  <c r="U42" i="8"/>
  <c r="AD42" i="8" s="1"/>
  <c r="W95" i="8"/>
  <c r="U95" i="8"/>
  <c r="W31" i="8"/>
  <c r="U31" i="8"/>
  <c r="AD29" i="8" l="1"/>
  <c r="AD28" i="8"/>
  <c r="AD31" i="8"/>
  <c r="AD53" i="8"/>
  <c r="AD59" i="8"/>
  <c r="AD64" i="8"/>
  <c r="AD32" i="8"/>
  <c r="AD106" i="8"/>
  <c r="AD76" i="8"/>
  <c r="AD100" i="8"/>
  <c r="AD89" i="8"/>
  <c r="AD107" i="8"/>
  <c r="AD63" i="8"/>
  <c r="AD105" i="8"/>
  <c r="G46" i="6" s="1"/>
  <c r="AD33" i="8"/>
  <c r="AD82" i="8"/>
  <c r="AD61" i="8"/>
  <c r="AD49" i="8"/>
  <c r="AD84" i="8"/>
  <c r="AD52" i="8"/>
  <c r="AD103" i="8"/>
  <c r="AD30" i="8"/>
  <c r="AD81" i="8"/>
  <c r="AD92" i="8"/>
  <c r="X108" i="8"/>
  <c r="AD108" i="8" s="1"/>
  <c r="Z106" i="8"/>
  <c r="X73" i="8"/>
  <c r="AD73" i="8" s="1"/>
  <c r="Z53" i="8"/>
  <c r="X113" i="8"/>
  <c r="AD113" i="8" s="1"/>
  <c r="X119" i="8"/>
  <c r="AD119" i="8" s="1"/>
  <c r="X50" i="8"/>
  <c r="AD50" i="8" s="1"/>
  <c r="X37" i="8"/>
  <c r="AD37" i="8" s="1"/>
  <c r="Z64" i="8"/>
  <c r="X51" i="8"/>
  <c r="AD51" i="8" s="1"/>
  <c r="Z59" i="8"/>
  <c r="X70" i="8"/>
  <c r="AD70" i="8" s="1"/>
  <c r="X57" i="8"/>
  <c r="AD57" i="8" s="1"/>
  <c r="X36" i="8"/>
  <c r="AD36" i="8" s="1"/>
  <c r="X44" i="8"/>
  <c r="AD44" i="8" s="1"/>
  <c r="X83" i="8"/>
  <c r="AD83" i="8" s="1"/>
  <c r="Z103" i="8"/>
  <c r="X110" i="8"/>
  <c r="AD110" i="8" s="1"/>
  <c r="X90" i="8"/>
  <c r="AD90" i="8" s="1"/>
  <c r="X121" i="8"/>
  <c r="AD121" i="8" s="1"/>
  <c r="X126" i="8"/>
  <c r="AD126" i="8" s="1"/>
  <c r="Z49" i="8"/>
  <c r="X101" i="8"/>
  <c r="AD101" i="8" s="1"/>
  <c r="X69" i="8"/>
  <c r="AD69" i="8" s="1"/>
  <c r="G51" i="6" s="1"/>
  <c r="X102" i="8"/>
  <c r="AD102" i="8" s="1"/>
  <c r="X35" i="8"/>
  <c r="AD35" i="8" s="1"/>
  <c r="X94" i="8"/>
  <c r="AD94" i="8" s="1"/>
  <c r="Z92" i="8"/>
  <c r="X116" i="8"/>
  <c r="AD116" i="8" s="1"/>
  <c r="X60" i="8"/>
  <c r="AD60" i="8" s="1"/>
  <c r="X93" i="8"/>
  <c r="AD93" i="8" s="1"/>
  <c r="G53" i="6" s="1"/>
  <c r="X98" i="8"/>
  <c r="AD98" i="8" s="1"/>
  <c r="Z32" i="8"/>
  <c r="X56" i="8"/>
  <c r="AD56" i="8" s="1"/>
  <c r="X120" i="8"/>
  <c r="AD120" i="8" s="1"/>
  <c r="X75" i="8"/>
  <c r="AD75" i="8" s="1"/>
  <c r="X71" i="8"/>
  <c r="AD71" i="8" s="1"/>
  <c r="X124" i="8"/>
  <c r="AD124" i="8" s="1"/>
  <c r="X45" i="8"/>
  <c r="AD45" i="8" s="1"/>
  <c r="G49" i="6" s="1"/>
  <c r="X72" i="8"/>
  <c r="AD72" i="8" s="1"/>
  <c r="X80" i="8"/>
  <c r="AD80" i="8" s="1"/>
  <c r="X109" i="8"/>
  <c r="AD109" i="8" s="1"/>
  <c r="X78" i="8"/>
  <c r="AD78" i="8" s="1"/>
  <c r="G48" i="6" s="1"/>
  <c r="X48" i="8"/>
  <c r="AD48" i="8" s="1"/>
  <c r="X128" i="8"/>
  <c r="X46" i="8"/>
  <c r="AD46" i="8" s="1"/>
  <c r="Z63" i="8"/>
  <c r="X41" i="8"/>
  <c r="AD41" i="8" s="1"/>
  <c r="X62" i="8"/>
  <c r="AD62" i="8" s="1"/>
  <c r="X115" i="8"/>
  <c r="AD115" i="8" s="1"/>
  <c r="Z81" i="8"/>
  <c r="X39" i="8"/>
  <c r="AD39" i="8" s="1"/>
  <c r="X79" i="8"/>
  <c r="AD79" i="8" s="1"/>
  <c r="X112" i="8"/>
  <c r="AD112" i="8" s="1"/>
  <c r="X97" i="8"/>
  <c r="AD97" i="8" s="1"/>
  <c r="X129" i="8"/>
  <c r="AD129" i="8" s="1"/>
  <c r="X55" i="8"/>
  <c r="AD55" i="8" s="1"/>
  <c r="X65" i="8"/>
  <c r="AD65" i="8" s="1"/>
  <c r="Z89" i="8"/>
  <c r="X91" i="8"/>
  <c r="AD91" i="8" s="1"/>
  <c r="X58" i="8"/>
  <c r="AD58" i="8" s="1"/>
  <c r="X38" i="8"/>
  <c r="AD38" i="8" s="1"/>
  <c r="Z30" i="8"/>
  <c r="X123" i="8"/>
  <c r="AD123" i="8" s="1"/>
  <c r="X95" i="8"/>
  <c r="AD95" i="8" s="1"/>
  <c r="X104" i="8"/>
  <c r="AD104" i="8" s="1"/>
  <c r="Z100" i="8"/>
  <c r="X114" i="8"/>
  <c r="AD114" i="8" s="1"/>
  <c r="X86" i="8"/>
  <c r="AD86" i="8" s="1"/>
  <c r="Z107" i="8"/>
  <c r="Z76" i="8"/>
  <c r="X68" i="8"/>
  <c r="AD68" i="8" s="1"/>
  <c r="X34" i="8"/>
  <c r="AD34" i="8" s="1"/>
  <c r="Z105" i="8"/>
  <c r="Z31" i="8"/>
  <c r="X118" i="8"/>
  <c r="AD118" i="8" s="1"/>
  <c r="Z84" i="8"/>
  <c r="X40" i="8"/>
  <c r="AD40" i="8" s="1"/>
  <c r="X88" i="8"/>
  <c r="AD88" i="8" s="1"/>
  <c r="X125" i="8"/>
  <c r="AD125" i="8" s="1"/>
  <c r="X135" i="8"/>
  <c r="X77" i="8"/>
  <c r="AD77" i="8" s="1"/>
  <c r="X67" i="8"/>
  <c r="AD67" i="8" s="1"/>
  <c r="X122" i="8"/>
  <c r="AD122" i="8" s="1"/>
  <c r="X111" i="8"/>
  <c r="AD111" i="8" s="1"/>
  <c r="Z61" i="8"/>
  <c r="X74" i="8"/>
  <c r="AD74" i="8" s="1"/>
  <c r="X127" i="8"/>
  <c r="X85" i="8"/>
  <c r="AD85" i="8" s="1"/>
  <c r="Z82" i="8"/>
  <c r="X66" i="8"/>
  <c r="AD66" i="8" s="1"/>
  <c r="X96" i="8"/>
  <c r="AD96" i="8" s="1"/>
  <c r="X136" i="8"/>
  <c r="AD136" i="8" s="1"/>
  <c r="X87" i="8"/>
  <c r="AD87" i="8" s="1"/>
  <c r="X43" i="8"/>
  <c r="AD43" i="8" s="1"/>
  <c r="X117" i="8"/>
  <c r="AD117" i="8" s="1"/>
  <c r="G47" i="6" s="1"/>
  <c r="X54" i="8"/>
  <c r="AD54" i="8" s="1"/>
  <c r="G52" i="6" s="1"/>
  <c r="X99" i="8"/>
  <c r="AD99" i="8" s="1"/>
  <c r="Z52" i="8"/>
  <c r="X133" i="8"/>
  <c r="X47" i="8"/>
  <c r="AD47" i="8" s="1"/>
  <c r="X138" i="8"/>
  <c r="AD138" i="8" s="1"/>
  <c r="X134" i="8"/>
  <c r="Z33" i="8"/>
  <c r="X131" i="8"/>
  <c r="U133" i="8"/>
  <c r="X132" i="8"/>
  <c r="U137" i="8"/>
  <c r="AD137" i="8" s="1"/>
  <c r="U135" i="8"/>
  <c r="U134" i="8"/>
  <c r="U131" i="8"/>
  <c r="U132" i="8"/>
  <c r="U128" i="8"/>
  <c r="U127" i="8"/>
  <c r="AD130" i="8"/>
  <c r="AD127" i="8" l="1"/>
  <c r="AD134" i="8"/>
  <c r="AD131" i="8"/>
  <c r="AD132" i="8"/>
  <c r="AD128" i="8"/>
  <c r="AD135" i="8"/>
  <c r="AD133" i="8"/>
  <c r="K27" i="6"/>
</calcChain>
</file>

<file path=xl/sharedStrings.xml><?xml version="1.0" encoding="utf-8"?>
<sst xmlns="http://schemas.openxmlformats.org/spreadsheetml/2006/main" count="356" uniqueCount="147">
  <si>
    <t>=</t>
  </si>
  <si>
    <t>L</t>
  </si>
  <si>
    <t>cu.ft.</t>
  </si>
  <si>
    <t>A</t>
  </si>
  <si>
    <t>B</t>
  </si>
  <si>
    <t>x</t>
  </si>
  <si>
    <t>y</t>
  </si>
  <si>
    <t>dX</t>
  </si>
  <si>
    <t>dY</t>
  </si>
  <si>
    <t>p</t>
  </si>
  <si>
    <t>Panels</t>
  </si>
  <si>
    <t>#</t>
  </si>
  <si>
    <t>d</t>
  </si>
  <si>
    <t>S1</t>
  </si>
  <si>
    <t>S4</t>
  </si>
  <si>
    <t>l.</t>
  </si>
  <si>
    <t>Vol. (net)</t>
  </si>
  <si>
    <t>Vol. (gross)</t>
  </si>
  <si>
    <t>cm^2</t>
  </si>
  <si>
    <t>l</t>
  </si>
  <si>
    <t>Advanced Centerline</t>
  </si>
  <si>
    <t>Driver</t>
  </si>
  <si>
    <t>cm</t>
  </si>
  <si>
    <t>L12</t>
  </si>
  <si>
    <t>Frame Width</t>
  </si>
  <si>
    <t>Magnet Width</t>
  </si>
  <si>
    <t>Magnet Height</t>
  </si>
  <si>
    <t>Plot</t>
  </si>
  <si>
    <t>Delta</t>
  </si>
  <si>
    <t>Mounting Width</t>
  </si>
  <si>
    <t>Mounting Depth</t>
  </si>
  <si>
    <t>v</t>
  </si>
  <si>
    <t>Cos</t>
  </si>
  <si>
    <t>Sin</t>
  </si>
  <si>
    <t>Path Calculations</t>
  </si>
  <si>
    <t>dS</t>
  </si>
  <si>
    <t>tan</t>
  </si>
  <si>
    <t>S2</t>
  </si>
  <si>
    <t>dx</t>
  </si>
  <si>
    <t>dy</t>
  </si>
  <si>
    <t>S</t>
  </si>
  <si>
    <t>Pnl Vol</t>
  </si>
  <si>
    <t>L (actual)</t>
  </si>
  <si>
    <t>Face (1)</t>
  </si>
  <si>
    <t>S3</t>
  </si>
  <si>
    <t>S5</t>
  </si>
  <si>
    <t>L34</t>
  </si>
  <si>
    <t>L23</t>
  </si>
  <si>
    <t>in</t>
  </si>
  <si>
    <t>o</t>
  </si>
  <si>
    <t>Graph Axes</t>
  </si>
  <si>
    <t>Guides</t>
  </si>
  <si>
    <t>Sample points</t>
  </si>
  <si>
    <t>driver offset</t>
  </si>
  <si>
    <t>HornResp Params</t>
  </si>
  <si>
    <t>Box Dimensions</t>
  </si>
  <si>
    <t>Driver Dimensions</t>
  </si>
  <si>
    <t>Horn Design</t>
  </si>
  <si>
    <t>Expansion</t>
  </si>
  <si>
    <t>Intersection points</t>
  </si>
  <si>
    <t>x1</t>
  </si>
  <si>
    <t>y1</t>
  </si>
  <si>
    <t>x2</t>
  </si>
  <si>
    <t>y2</t>
  </si>
  <si>
    <t>a</t>
  </si>
  <si>
    <t>b</t>
  </si>
  <si>
    <t>Driver centerline</t>
  </si>
  <si>
    <t>sample point 3</t>
  </si>
  <si>
    <t>sample point 6</t>
  </si>
  <si>
    <t>Sample point 10</t>
  </si>
  <si>
    <t>Version</t>
  </si>
  <si>
    <t>Height</t>
  </si>
  <si>
    <t>Width</t>
  </si>
  <si>
    <t>Depth</t>
  </si>
  <si>
    <t>Cone Volume</t>
  </si>
  <si>
    <t>cm^3</t>
  </si>
  <si>
    <t>Cone Vol. Adj. (S2)</t>
  </si>
  <si>
    <t>Cone Area Adj. (S2)</t>
  </si>
  <si>
    <t>Filename</t>
  </si>
  <si>
    <t>I:\Users\Brian.Steele\OneDrive\Hornresp\Import\BOXPLAN.TXT</t>
  </si>
  <si>
    <t>ID</t>
  </si>
  <si>
    <t>29.00</t>
  </si>
  <si>
    <t>Ang</t>
  </si>
  <si>
    <t>2.0 x PI</t>
  </si>
  <si>
    <t>Eg</t>
  </si>
  <si>
    <t>Rg</t>
  </si>
  <si>
    <t>Fta</t>
  </si>
  <si>
    <t>Par</t>
  </si>
  <si>
    <t>F12</t>
  </si>
  <si>
    <t>F23</t>
  </si>
  <si>
    <t>F34</t>
  </si>
  <si>
    <t>F45</t>
  </si>
  <si>
    <t>Sd</t>
  </si>
  <si>
    <t>Bl</t>
  </si>
  <si>
    <t>Cms</t>
  </si>
  <si>
    <t>Rms</t>
  </si>
  <si>
    <t>Mmd</t>
  </si>
  <si>
    <t>Le</t>
  </si>
  <si>
    <t>Re</t>
  </si>
  <si>
    <t>TH</t>
  </si>
  <si>
    <t>Vrc</t>
  </si>
  <si>
    <t>Lrc</t>
  </si>
  <si>
    <t>Ap1</t>
  </si>
  <si>
    <t>Lp</t>
  </si>
  <si>
    <t>Vtc</t>
  </si>
  <si>
    <t>Atc</t>
  </si>
  <si>
    <t>Pmax</t>
  </si>
  <si>
    <t>Xmax</t>
  </si>
  <si>
    <t>Comment</t>
  </si>
  <si>
    <t>L45</t>
  </si>
  <si>
    <t>Panel G (2nd inside)</t>
  </si>
  <si>
    <t>Panel H (3rd inside)</t>
  </si>
  <si>
    <t>Panel I (4th inside)</t>
  </si>
  <si>
    <t>Ideal box width</t>
  </si>
  <si>
    <t>Tan</t>
  </si>
  <si>
    <t>1/2</t>
  </si>
  <si>
    <t>Angle</t>
  </si>
  <si>
    <t>Expansion 1</t>
  </si>
  <si>
    <t>Panel J (5th inside)</t>
  </si>
  <si>
    <t>Plot?</t>
  </si>
  <si>
    <t>W</t>
  </si>
  <si>
    <t>Error</t>
  </si>
  <si>
    <t>BOXPLAN-Export Othorn TH</t>
  </si>
  <si>
    <t>Error (P)</t>
  </si>
  <si>
    <t>Parabolic</t>
  </si>
  <si>
    <t>Conical</t>
  </si>
  <si>
    <t>Error (C)</t>
  </si>
  <si>
    <t>Exponential</t>
  </si>
  <si>
    <t>Hyperbolic</t>
  </si>
  <si>
    <t>Hyperbolic T</t>
  </si>
  <si>
    <t>Error (E)</t>
  </si>
  <si>
    <t>Par, Con, Exp, Hyp</t>
  </si>
  <si>
    <t>Error (H)</t>
  </si>
  <si>
    <t>Error (Plot)</t>
  </si>
  <si>
    <t>Path</t>
  </si>
  <si>
    <t>Expansion Type</t>
  </si>
  <si>
    <t>L12 Expansion</t>
  </si>
  <si>
    <t>L34 Expansion</t>
  </si>
  <si>
    <t>L23 Expansion</t>
  </si>
  <si>
    <t>L45 Expansion</t>
  </si>
  <si>
    <t>Exp</t>
  </si>
  <si>
    <t>Panel D (front)</t>
  </si>
  <si>
    <t>Panel A (bottom)</t>
  </si>
  <si>
    <t>Panel B (top)</t>
  </si>
  <si>
    <t>Panel C (sides)</t>
  </si>
  <si>
    <t>Panel E (back)</t>
  </si>
  <si>
    <t>Panel F (baffle)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</si>
</sst>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8"/>
      <color rgb="FF0033CC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64" fontId="3" fillId="0" borderId="0" xfId="0" applyNumberFormat="1" applyFont="1"/>
    <xf numFmtId="0" fontId="2" fillId="8" borderId="18" xfId="0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/>
    <xf numFmtId="1" fontId="3" fillId="0" borderId="0" xfId="0" applyNumberFormat="1" applyFont="1"/>
    <xf numFmtId="0" fontId="3" fillId="7" borderId="12" xfId="0" applyFont="1" applyFill="1" applyBorder="1"/>
    <xf numFmtId="0" fontId="3" fillId="7" borderId="6" xfId="0" applyFont="1" applyFill="1" applyBorder="1"/>
    <xf numFmtId="2" fontId="3" fillId="7" borderId="7" xfId="0" applyNumberFormat="1" applyFont="1" applyFill="1" applyBorder="1"/>
    <xf numFmtId="0" fontId="3" fillId="7" borderId="8" xfId="0" applyFont="1" applyFill="1" applyBorder="1"/>
    <xf numFmtId="0" fontId="3" fillId="7" borderId="0" xfId="0" applyFont="1" applyFill="1" applyBorder="1"/>
    <xf numFmtId="2" fontId="3" fillId="7" borderId="9" xfId="0" applyNumberFormat="1" applyFont="1" applyFill="1" applyBorder="1"/>
    <xf numFmtId="0" fontId="3" fillId="7" borderId="9" xfId="0" applyFont="1" applyFill="1" applyBorder="1"/>
    <xf numFmtId="0" fontId="3" fillId="7" borderId="10" xfId="0" applyFont="1" applyFill="1" applyBorder="1"/>
    <xf numFmtId="0" fontId="3" fillId="7" borderId="11" xfId="0" applyFont="1" applyFill="1" applyBorder="1"/>
    <xf numFmtId="2" fontId="3" fillId="7" borderId="16" xfId="0" applyNumberFormat="1" applyFont="1" applyFill="1" applyBorder="1"/>
    <xf numFmtId="164" fontId="3" fillId="5" borderId="12" xfId="0" applyNumberFormat="1" applyFont="1" applyFill="1" applyBorder="1"/>
    <xf numFmtId="164" fontId="3" fillId="5" borderId="6" xfId="0" applyNumberFormat="1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164" fontId="3" fillId="5" borderId="8" xfId="0" applyNumberFormat="1" applyFont="1" applyFill="1" applyBorder="1"/>
    <xf numFmtId="164" fontId="3" fillId="5" borderId="0" xfId="0" applyNumberFormat="1" applyFont="1" applyFill="1" applyBorder="1"/>
    <xf numFmtId="0" fontId="3" fillId="5" borderId="0" xfId="0" applyFont="1" applyFill="1" applyBorder="1"/>
    <xf numFmtId="0" fontId="3" fillId="5" borderId="9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/>
    <xf numFmtId="1" fontId="3" fillId="5" borderId="9" xfId="0" applyNumberFormat="1" applyFont="1" applyFill="1" applyBorder="1"/>
    <xf numFmtId="1" fontId="3" fillId="5" borderId="6" xfId="0" applyNumberFormat="1" applyFont="1" applyFill="1" applyBorder="1"/>
    <xf numFmtId="1" fontId="3" fillId="5" borderId="7" xfId="0" applyNumberFormat="1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3" fillId="5" borderId="11" xfId="0" applyNumberFormat="1" applyFont="1" applyFill="1" applyBorder="1"/>
    <xf numFmtId="1" fontId="3" fillId="5" borderId="11" xfId="0" applyNumberFormat="1" applyFont="1" applyFill="1" applyBorder="1"/>
    <xf numFmtId="0" fontId="3" fillId="5" borderId="8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1" fontId="3" fillId="5" borderId="16" xfId="0" applyNumberFormat="1" applyFont="1" applyFill="1" applyBorder="1"/>
    <xf numFmtId="164" fontId="3" fillId="6" borderId="12" xfId="0" applyNumberFormat="1" applyFont="1" applyFill="1" applyBorder="1"/>
    <xf numFmtId="164" fontId="3" fillId="6" borderId="6" xfId="0" applyNumberFormat="1" applyFont="1" applyFill="1" applyBorder="1"/>
    <xf numFmtId="0" fontId="3" fillId="6" borderId="6" xfId="0" applyFont="1" applyFill="1" applyBorder="1"/>
    <xf numFmtId="1" fontId="3" fillId="6" borderId="7" xfId="0" applyNumberFormat="1" applyFont="1" applyFill="1" applyBorder="1"/>
    <xf numFmtId="164" fontId="3" fillId="6" borderId="8" xfId="0" applyNumberFormat="1" applyFont="1" applyFill="1" applyBorder="1"/>
    <xf numFmtId="164" fontId="3" fillId="6" borderId="0" xfId="0" applyNumberFormat="1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" fontId="3" fillId="6" borderId="9" xfId="0" applyNumberFormat="1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164" fontId="3" fillId="6" borderId="11" xfId="0" applyNumberFormat="1" applyFont="1" applyFill="1" applyBorder="1"/>
    <xf numFmtId="1" fontId="3" fillId="6" borderId="16" xfId="0" applyNumberFormat="1" applyFont="1" applyFill="1" applyBorder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6" fillId="10" borderId="1" xfId="0" applyFont="1" applyFill="1" applyBorder="1"/>
    <xf numFmtId="0" fontId="6" fillId="10" borderId="2" xfId="0" applyFont="1" applyFill="1" applyBorder="1"/>
    <xf numFmtId="164" fontId="8" fillId="10" borderId="17" xfId="0" applyNumberFormat="1" applyFont="1" applyFill="1" applyBorder="1"/>
    <xf numFmtId="164" fontId="6" fillId="0" borderId="19" xfId="0" applyNumberFormat="1" applyFont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164" fontId="6" fillId="0" borderId="4" xfId="0" applyNumberFormat="1" applyFont="1" applyBorder="1"/>
    <xf numFmtId="0" fontId="9" fillId="13" borderId="24" xfId="0" applyFont="1" applyFill="1" applyBorder="1" applyAlignment="1"/>
    <xf numFmtId="0" fontId="6" fillId="10" borderId="20" xfId="0" applyFont="1" applyFill="1" applyBorder="1"/>
    <xf numFmtId="0" fontId="6" fillId="10" borderId="21" xfId="0" applyFont="1" applyFill="1" applyBorder="1"/>
    <xf numFmtId="164" fontId="8" fillId="10" borderId="22" xfId="0" applyNumberFormat="1" applyFont="1" applyFill="1" applyBorder="1"/>
    <xf numFmtId="164" fontId="6" fillId="0" borderId="5" xfId="0" applyNumberFormat="1" applyFont="1" applyBorder="1"/>
    <xf numFmtId="0" fontId="6" fillId="0" borderId="1" xfId="0" applyFont="1" applyBorder="1"/>
    <xf numFmtId="0" fontId="6" fillId="0" borderId="2" xfId="0" applyFont="1" applyBorder="1"/>
    <xf numFmtId="164" fontId="8" fillId="0" borderId="17" xfId="0" applyNumberFormat="1" applyFont="1" applyBorder="1" applyProtection="1">
      <protection locked="0"/>
    </xf>
    <xf numFmtId="164" fontId="7" fillId="0" borderId="19" xfId="0" applyNumberFormat="1" applyFont="1" applyBorder="1"/>
    <xf numFmtId="0" fontId="6" fillId="0" borderId="13" xfId="0" applyFont="1" applyBorder="1"/>
    <xf numFmtId="0" fontId="6" fillId="0" borderId="14" xfId="0" applyFont="1" applyBorder="1"/>
    <xf numFmtId="164" fontId="8" fillId="0" borderId="15" xfId="0" applyNumberFormat="1" applyFont="1" applyBorder="1" applyProtection="1">
      <protection locked="0"/>
    </xf>
    <xf numFmtId="0" fontId="7" fillId="0" borderId="2" xfId="0" applyFont="1" applyBorder="1"/>
    <xf numFmtId="0" fontId="7" fillId="0" borderId="0" xfId="0" applyFont="1" applyBorder="1"/>
    <xf numFmtId="164" fontId="7" fillId="0" borderId="5" xfId="0" applyNumberFormat="1" applyFont="1" applyBorder="1"/>
    <xf numFmtId="0" fontId="9" fillId="13" borderId="21" xfId="0" applyFont="1" applyFill="1" applyBorder="1" applyAlignment="1"/>
    <xf numFmtId="0" fontId="9" fillId="13" borderId="22" xfId="0" applyFont="1" applyFill="1" applyBorder="1" applyAlignment="1"/>
    <xf numFmtId="0" fontId="6" fillId="13" borderId="14" xfId="0" applyFont="1" applyFill="1" applyBorder="1" applyAlignment="1"/>
    <xf numFmtId="0" fontId="9" fillId="13" borderId="14" xfId="0" applyFont="1" applyFill="1" applyBorder="1" applyAlignment="1"/>
    <xf numFmtId="0" fontId="9" fillId="13" borderId="15" xfId="0" applyFont="1" applyFill="1" applyBorder="1" applyAlignment="1"/>
    <xf numFmtId="0" fontId="6" fillId="13" borderId="0" xfId="0" applyFont="1" applyFill="1" applyBorder="1" applyAlignment="1"/>
    <xf numFmtId="0" fontId="9" fillId="13" borderId="0" xfId="0" applyFont="1" applyFill="1" applyBorder="1" applyAlignment="1"/>
    <xf numFmtId="0" fontId="6" fillId="0" borderId="0" xfId="0" quotePrefix="1" applyFont="1"/>
    <xf numFmtId="0" fontId="6" fillId="9" borderId="1" xfId="0" applyFont="1" applyFill="1" applyBorder="1"/>
    <xf numFmtId="0" fontId="6" fillId="9" borderId="2" xfId="0" applyFont="1" applyFill="1" applyBorder="1"/>
    <xf numFmtId="0" fontId="6" fillId="13" borderId="20" xfId="0" applyFont="1" applyFill="1" applyBorder="1" applyAlignment="1"/>
    <xf numFmtId="164" fontId="6" fillId="9" borderId="17" xfId="0" applyNumberFormat="1" applyFont="1" applyFill="1" applyBorder="1"/>
    <xf numFmtId="164" fontId="6" fillId="0" borderId="17" xfId="0" applyNumberFormat="1" applyFont="1" applyBorder="1"/>
    <xf numFmtId="2" fontId="11" fillId="14" borderId="19" xfId="0" applyNumberFormat="1" applyFont="1" applyFill="1" applyBorder="1" applyAlignment="1">
      <alignment horizontal="center"/>
    </xf>
    <xf numFmtId="0" fontId="6" fillId="11" borderId="13" xfId="0" applyFont="1" applyFill="1" applyBorder="1"/>
    <xf numFmtId="0" fontId="6" fillId="11" borderId="14" xfId="0" applyFont="1" applyFill="1" applyBorder="1"/>
    <xf numFmtId="1" fontId="6" fillId="11" borderId="14" xfId="0" applyNumberFormat="1" applyFont="1" applyFill="1" applyBorder="1"/>
    <xf numFmtId="0" fontId="7" fillId="11" borderId="14" xfId="0" applyFont="1" applyFill="1" applyBorder="1"/>
    <xf numFmtId="2" fontId="6" fillId="11" borderId="14" xfId="0" applyNumberFormat="1" applyFont="1" applyFill="1" applyBorder="1"/>
    <xf numFmtId="0" fontId="7" fillId="11" borderId="15" xfId="0" applyFont="1" applyFill="1" applyBorder="1"/>
    <xf numFmtId="0" fontId="6" fillId="11" borderId="23" xfId="0" applyFont="1" applyFill="1" applyBorder="1"/>
    <xf numFmtId="0" fontId="6" fillId="11" borderId="0" xfId="0" applyFont="1" applyFill="1" applyBorder="1"/>
    <xf numFmtId="1" fontId="6" fillId="11" borderId="0" xfId="0" applyNumberFormat="1" applyFont="1" applyFill="1" applyBorder="1"/>
    <xf numFmtId="0" fontId="7" fillId="11" borderId="0" xfId="0" applyFont="1" applyFill="1" applyBorder="1"/>
    <xf numFmtId="2" fontId="6" fillId="11" borderId="0" xfId="0" applyNumberFormat="1" applyFont="1" applyFill="1" applyBorder="1"/>
    <xf numFmtId="0" fontId="7" fillId="11" borderId="24" xfId="0" applyFont="1" applyFill="1" applyBorder="1"/>
    <xf numFmtId="0" fontId="7" fillId="11" borderId="23" xfId="0" applyFont="1" applyFill="1" applyBorder="1"/>
    <xf numFmtId="2" fontId="8" fillId="0" borderId="18" xfId="0" applyNumberFormat="1" applyFont="1" applyFill="1" applyBorder="1" applyProtection="1">
      <protection locked="0"/>
    </xf>
    <xf numFmtId="0" fontId="6" fillId="11" borderId="0" xfId="0" applyFont="1" applyFill="1" applyBorder="1" applyAlignment="1">
      <alignment horizontal="center"/>
    </xf>
    <xf numFmtId="0" fontId="6" fillId="11" borderId="24" xfId="0" applyFont="1" applyFill="1" applyBorder="1"/>
    <xf numFmtId="164" fontId="10" fillId="0" borderId="18" xfId="0" applyNumberFormat="1" applyFont="1" applyFill="1" applyBorder="1" applyAlignment="1" applyProtection="1">
      <alignment horizontal="center"/>
      <protection locked="0"/>
    </xf>
    <xf numFmtId="164" fontId="6" fillId="11" borderId="0" xfId="0" applyNumberFormat="1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164" fontId="7" fillId="11" borderId="0" xfId="0" applyNumberFormat="1" applyFont="1" applyFill="1" applyBorder="1"/>
    <xf numFmtId="164" fontId="7" fillId="11" borderId="0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 applyProtection="1">
      <alignment horizontal="center"/>
      <protection locked="0"/>
    </xf>
    <xf numFmtId="0" fontId="6" fillId="11" borderId="20" xfId="0" applyFont="1" applyFill="1" applyBorder="1"/>
    <xf numFmtId="0" fontId="7" fillId="11" borderId="21" xfId="0" applyFont="1" applyFill="1" applyBorder="1"/>
    <xf numFmtId="164" fontId="6" fillId="11" borderId="21" xfId="0" applyNumberFormat="1" applyFont="1" applyFill="1" applyBorder="1" applyAlignment="1">
      <alignment horizontal="center"/>
    </xf>
    <xf numFmtId="0" fontId="6" fillId="11" borderId="21" xfId="0" applyFont="1" applyFill="1" applyBorder="1"/>
    <xf numFmtId="164" fontId="6" fillId="11" borderId="21" xfId="0" applyNumberFormat="1" applyFont="1" applyFill="1" applyBorder="1"/>
    <xf numFmtId="0" fontId="7" fillId="11" borderId="22" xfId="0" applyFont="1" applyFill="1" applyBorder="1"/>
    <xf numFmtId="164" fontId="12" fillId="0" borderId="17" xfId="0" applyNumberFormat="1" applyFont="1" applyBorder="1" applyProtection="1">
      <protection locked="0"/>
    </xf>
    <xf numFmtId="0" fontId="6" fillId="0" borderId="1" xfId="0" applyFont="1" applyFill="1" applyBorder="1"/>
    <xf numFmtId="0" fontId="6" fillId="0" borderId="2" xfId="0" applyFont="1" applyFill="1" applyBorder="1"/>
    <xf numFmtId="164" fontId="6" fillId="0" borderId="17" xfId="0" applyNumberFormat="1" applyFont="1" applyFill="1" applyBorder="1"/>
    <xf numFmtId="0" fontId="7" fillId="11" borderId="25" xfId="0" applyFont="1" applyFill="1" applyBorder="1"/>
    <xf numFmtId="0" fontId="7" fillId="11" borderId="18" xfId="0" applyFont="1" applyFill="1" applyBorder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164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3" borderId="12" xfId="0" applyFont="1" applyFill="1" applyBorder="1"/>
    <xf numFmtId="0" fontId="1" fillId="3" borderId="6" xfId="0" applyFont="1" applyFill="1" applyBorder="1"/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/>
    <xf numFmtId="164" fontId="1" fillId="3" borderId="7" xfId="0" applyNumberFormat="1" applyFont="1" applyFill="1" applyBorder="1" applyAlignment="1"/>
    <xf numFmtId="2" fontId="1" fillId="0" borderId="0" xfId="0" applyNumberFormat="1" applyFont="1"/>
    <xf numFmtId="0" fontId="1" fillId="3" borderId="8" xfId="0" applyFon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/>
    <xf numFmtId="164" fontId="1" fillId="3" borderId="9" xfId="0" applyNumberFormat="1" applyFont="1" applyFill="1" applyBorder="1" applyAlignment="1"/>
    <xf numFmtId="0" fontId="1" fillId="3" borderId="11" xfId="0" applyFont="1" applyFill="1" applyBorder="1"/>
    <xf numFmtId="164" fontId="1" fillId="3" borderId="11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/>
    <xf numFmtId="0" fontId="1" fillId="3" borderId="16" xfId="0" applyFont="1" applyFill="1" applyBorder="1"/>
    <xf numFmtId="165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12" borderId="12" xfId="0" applyFont="1" applyFill="1" applyBorder="1"/>
    <xf numFmtId="0" fontId="1" fillId="12" borderId="6" xfId="0" applyFont="1" applyFill="1" applyBorder="1"/>
    <xf numFmtId="164" fontId="1" fillId="12" borderId="6" xfId="0" applyNumberFormat="1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/>
    <xf numFmtId="164" fontId="1" fillId="12" borderId="7" xfId="0" applyNumberFormat="1" applyFont="1" applyFill="1" applyBorder="1" applyAlignment="1"/>
    <xf numFmtId="0" fontId="1" fillId="12" borderId="0" xfId="0" applyFont="1" applyFill="1" applyBorder="1"/>
    <xf numFmtId="164" fontId="1" fillId="12" borderId="0" xfId="0" applyNumberFormat="1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164" fontId="1" fillId="12" borderId="0" xfId="0" applyNumberFormat="1" applyFont="1" applyFill="1" applyBorder="1" applyAlignment="1"/>
    <xf numFmtId="164" fontId="1" fillId="12" borderId="9" xfId="0" applyNumberFormat="1" applyFont="1" applyFill="1" applyBorder="1" applyAlignment="1"/>
    <xf numFmtId="164" fontId="1" fillId="0" borderId="0" xfId="0" applyNumberFormat="1" applyFont="1"/>
    <xf numFmtId="0" fontId="1" fillId="12" borderId="11" xfId="0" applyFont="1" applyFill="1" applyBorder="1"/>
    <xf numFmtId="164" fontId="1" fillId="12" borderId="11" xfId="0" applyNumberFormat="1" applyFont="1" applyFill="1" applyBorder="1" applyAlignment="1">
      <alignment horizontal="center"/>
    </xf>
    <xf numFmtId="164" fontId="1" fillId="12" borderId="11" xfId="0" applyNumberFormat="1" applyFont="1" applyFill="1" applyBorder="1" applyAlignment="1"/>
    <xf numFmtId="164" fontId="1" fillId="12" borderId="16" xfId="0" applyNumberFormat="1" applyFont="1" applyFill="1" applyBorder="1" applyAlignment="1"/>
    <xf numFmtId="0" fontId="2" fillId="4" borderId="12" xfId="0" applyFont="1" applyFill="1" applyBorder="1"/>
    <xf numFmtId="0" fontId="1" fillId="4" borderId="6" xfId="0" applyFont="1" applyFill="1" applyBorder="1"/>
    <xf numFmtId="164" fontId="1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4" borderId="6" xfId="0" applyNumberFormat="1" applyFont="1" applyFill="1" applyBorder="1" applyAlignment="1"/>
    <xf numFmtId="164" fontId="1" fillId="4" borderId="7" xfId="0" applyNumberFormat="1" applyFont="1" applyFill="1" applyBorder="1" applyAlignment="1"/>
    <xf numFmtId="16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4" borderId="0" xfId="0" applyNumberFormat="1" applyFont="1" applyFill="1" applyBorder="1" applyAlignment="1"/>
    <xf numFmtId="164" fontId="1" fillId="4" borderId="9" xfId="0" applyNumberFormat="1" applyFont="1" applyFill="1" applyBorder="1" applyAlignment="1"/>
    <xf numFmtId="0" fontId="1" fillId="4" borderId="11" xfId="0" applyFont="1" applyFill="1" applyBorder="1"/>
    <xf numFmtId="164" fontId="1" fillId="4" borderId="1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11" xfId="0" applyNumberFormat="1" applyFont="1" applyFill="1" applyBorder="1" applyAlignment="1"/>
    <xf numFmtId="164" fontId="1" fillId="4" borderId="11" xfId="0" applyNumberFormat="1" applyFont="1" applyFill="1" applyBorder="1"/>
    <xf numFmtId="164" fontId="1" fillId="4" borderId="16" xfId="0" applyNumberFormat="1" applyFont="1" applyFill="1" applyBorder="1"/>
    <xf numFmtId="1" fontId="1" fillId="0" borderId="0" xfId="0" applyNumberFormat="1" applyFont="1"/>
    <xf numFmtId="16" fontId="2" fillId="8" borderId="18" xfId="0" quotePrefix="1" applyNumberFormat="1" applyFont="1" applyFill="1" applyBorder="1" applyAlignment="1">
      <alignment horizontal="center"/>
    </xf>
    <xf numFmtId="2" fontId="1" fillId="7" borderId="18" xfId="0" applyNumberFormat="1" applyFont="1" applyFill="1" applyBorder="1" applyAlignment="1">
      <alignment horizontal="center"/>
    </xf>
    <xf numFmtId="2" fontId="2" fillId="8" borderId="18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11" borderId="23" xfId="0" applyFont="1" applyFill="1" applyBorder="1"/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/>
    <xf numFmtId="1" fontId="10" fillId="9" borderId="17" xfId="0" applyNumberFormat="1" applyFont="1" applyFill="1" applyBorder="1" applyProtection="1">
      <protection locked="0"/>
    </xf>
    <xf numFmtId="1" fontId="6" fillId="9" borderId="17" xfId="0" applyNumberFormat="1" applyFont="1" applyFill="1" applyBorder="1"/>
    <xf numFmtId="0" fontId="3" fillId="13" borderId="28" xfId="0" applyFont="1" applyFill="1" applyBorder="1"/>
    <xf numFmtId="164" fontId="3" fillId="13" borderId="28" xfId="0" applyNumberFormat="1" applyFont="1" applyFill="1" applyBorder="1"/>
    <xf numFmtId="164" fontId="3" fillId="13" borderId="29" xfId="0" applyNumberFormat="1" applyFont="1" applyFill="1" applyBorder="1"/>
    <xf numFmtId="164" fontId="8" fillId="0" borderId="17" xfId="0" applyNumberFormat="1" applyFont="1" applyFill="1" applyBorder="1" applyProtection="1">
      <protection locked="0"/>
    </xf>
    <xf numFmtId="164" fontId="5" fillId="10" borderId="17" xfId="0" applyNumberFormat="1" applyFont="1" applyFill="1" applyBorder="1"/>
    <xf numFmtId="0" fontId="2" fillId="0" borderId="1" xfId="0" applyFont="1" applyFill="1" applyBorder="1"/>
    <xf numFmtId="164" fontId="7" fillId="11" borderId="25" xfId="0" applyNumberFormat="1" applyFont="1" applyFill="1" applyBorder="1"/>
    <xf numFmtId="0" fontId="3" fillId="9" borderId="8" xfId="0" applyFont="1" applyFill="1" applyBorder="1"/>
    <xf numFmtId="0" fontId="3" fillId="9" borderId="9" xfId="0" applyFont="1" applyFill="1" applyBorder="1"/>
    <xf numFmtId="1" fontId="3" fillId="9" borderId="10" xfId="0" applyNumberFormat="1" applyFont="1" applyFill="1" applyBorder="1"/>
    <xf numFmtId="1" fontId="3" fillId="9" borderId="16" xfId="0" applyNumberFormat="1" applyFont="1" applyFill="1" applyBorder="1"/>
    <xf numFmtId="1" fontId="3" fillId="7" borderId="8" xfId="0" applyNumberFormat="1" applyFont="1" applyFill="1" applyBorder="1"/>
    <xf numFmtId="1" fontId="3" fillId="7" borderId="9" xfId="0" applyNumberFormat="1" applyFont="1" applyFill="1" applyBorder="1"/>
    <xf numFmtId="1" fontId="3" fillId="7" borderId="10" xfId="0" applyNumberFormat="1" applyFont="1" applyFill="1" applyBorder="1"/>
    <xf numFmtId="1" fontId="3" fillId="7" borderId="16" xfId="0" applyNumberFormat="1" applyFont="1" applyFill="1" applyBorder="1"/>
    <xf numFmtId="1" fontId="1" fillId="9" borderId="8" xfId="0" applyNumberFormat="1" applyFont="1" applyFill="1" applyBorder="1"/>
    <xf numFmtId="1" fontId="1" fillId="9" borderId="9" xfId="0" applyNumberFormat="1" applyFont="1" applyFill="1" applyBorder="1"/>
    <xf numFmtId="0" fontId="3" fillId="8" borderId="8" xfId="0" applyFont="1" applyFill="1" applyBorder="1"/>
    <xf numFmtId="0" fontId="3" fillId="8" borderId="9" xfId="0" applyFont="1" applyFill="1" applyBorder="1"/>
    <xf numFmtId="1" fontId="1" fillId="8" borderId="8" xfId="0" applyNumberFormat="1" applyFont="1" applyFill="1" applyBorder="1"/>
    <xf numFmtId="1" fontId="1" fillId="8" borderId="9" xfId="0" applyNumberFormat="1" applyFont="1" applyFill="1" applyBorder="1"/>
    <xf numFmtId="0" fontId="2" fillId="0" borderId="2" xfId="0" applyFont="1" applyFill="1" applyBorder="1"/>
    <xf numFmtId="0" fontId="2" fillId="13" borderId="18" xfId="0" applyFont="1" applyFill="1" applyBorder="1" applyAlignment="1">
      <alignment horizontal="center"/>
    </xf>
    <xf numFmtId="1" fontId="3" fillId="8" borderId="10" xfId="0" applyNumberFormat="1" applyFont="1" applyFill="1" applyBorder="1"/>
    <xf numFmtId="1" fontId="3" fillId="8" borderId="16" xfId="0" applyNumberFormat="1" applyFont="1" applyFill="1" applyBorder="1"/>
    <xf numFmtId="1" fontId="5" fillId="15" borderId="17" xfId="0" applyNumberFormat="1" applyFont="1" applyFill="1" applyBorder="1" applyAlignment="1" applyProtection="1">
      <alignment horizontal="right"/>
      <protection locked="0"/>
    </xf>
    <xf numFmtId="2" fontId="7" fillId="11" borderId="0" xfId="0" applyNumberFormat="1" applyFont="1" applyFill="1" applyBorder="1"/>
    <xf numFmtId="164" fontId="1" fillId="11" borderId="0" xfId="0" applyNumberFormat="1" applyFont="1" applyFill="1" applyBorder="1" applyAlignment="1">
      <alignment horizontal="center"/>
    </xf>
    <xf numFmtId="0" fontId="2" fillId="2" borderId="21" xfId="0" applyFont="1" applyFill="1" applyBorder="1" applyAlignment="1"/>
    <xf numFmtId="164" fontId="1" fillId="5" borderId="12" xfId="0" applyNumberFormat="1" applyFont="1" applyFill="1" applyBorder="1"/>
    <xf numFmtId="164" fontId="1" fillId="5" borderId="6" xfId="0" applyNumberFormat="1" applyFont="1" applyFill="1" applyBorder="1"/>
    <xf numFmtId="0" fontId="1" fillId="5" borderId="6" xfId="0" applyFont="1" applyFill="1" applyBorder="1"/>
    <xf numFmtId="164" fontId="1" fillId="5" borderId="7" xfId="0" applyNumberFormat="1" applyFont="1" applyFill="1" applyBorder="1"/>
    <xf numFmtId="164" fontId="1" fillId="5" borderId="8" xfId="0" applyNumberFormat="1" applyFont="1" applyFill="1" applyBorder="1"/>
    <xf numFmtId="164" fontId="1" fillId="5" borderId="0" xfId="0" applyNumberFormat="1" applyFont="1" applyFill="1" applyBorder="1"/>
    <xf numFmtId="0" fontId="1" fillId="5" borderId="0" xfId="0" applyFont="1" applyFill="1" applyBorder="1"/>
    <xf numFmtId="164" fontId="1" fillId="5" borderId="9" xfId="0" applyNumberFormat="1" applyFont="1" applyFill="1" applyBorder="1"/>
    <xf numFmtId="0" fontId="1" fillId="5" borderId="8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1" fillId="5" borderId="16" xfId="0" applyNumberFormat="1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11" xfId="0" applyFont="1" applyFill="1" applyBorder="1"/>
    <xf numFmtId="0" fontId="6" fillId="2" borderId="0" xfId="0" applyFont="1" applyFill="1" applyBorder="1" applyAlignment="1"/>
    <xf numFmtId="165" fontId="12" fillId="0" borderId="17" xfId="0" applyNumberFormat="1" applyFont="1" applyBorder="1" applyProtection="1">
      <protection locked="0"/>
    </xf>
    <xf numFmtId="0" fontId="2" fillId="9" borderId="1" xfId="0" applyFont="1" applyFill="1" applyBorder="1"/>
    <xf numFmtId="164" fontId="2" fillId="0" borderId="17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" fontId="1" fillId="16" borderId="8" xfId="0" applyNumberFormat="1" applyFont="1" applyFill="1" applyBorder="1"/>
    <xf numFmtId="1" fontId="1" fillId="16" borderId="9" xfId="0" applyNumberFormat="1" applyFont="1" applyFill="1" applyBorder="1"/>
    <xf numFmtId="1" fontId="3" fillId="16" borderId="10" xfId="0" applyNumberFormat="1" applyFont="1" applyFill="1" applyBorder="1"/>
    <xf numFmtId="1" fontId="3" fillId="16" borderId="16" xfId="0" applyNumberFormat="1" applyFont="1" applyFill="1" applyBorder="1"/>
    <xf numFmtId="0" fontId="3" fillId="16" borderId="8" xfId="0" applyFont="1" applyFill="1" applyBorder="1"/>
    <xf numFmtId="0" fontId="3" fillId="16" borderId="9" xfId="0" applyFont="1" applyFill="1" applyBorder="1"/>
    <xf numFmtId="0" fontId="2" fillId="2" borderId="0" xfId="0" applyFont="1" applyFill="1" applyBorder="1" applyAlignment="1"/>
    <xf numFmtId="0" fontId="7" fillId="11" borderId="25" xfId="0" quotePrefix="1" applyFont="1" applyFill="1" applyBorder="1" applyAlignment="1"/>
    <xf numFmtId="0" fontId="7" fillId="0" borderId="26" xfId="0" applyFont="1" applyBorder="1" applyAlignment="1"/>
    <xf numFmtId="0" fontId="7" fillId="0" borderId="27" xfId="0" applyFont="1" applyBorder="1" applyAlignment="1"/>
    <xf numFmtId="0" fontId="12" fillId="0" borderId="25" xfId="0" quotePrefix="1" applyFont="1" applyBorder="1" applyAlignment="1" applyProtection="1">
      <protection locked="0"/>
    </xf>
    <xf numFmtId="0" fontId="7" fillId="0" borderId="26" xfId="0" applyFont="1" applyBorder="1" applyAlignment="1" applyProtection="1">
      <protection locked="0"/>
    </xf>
    <xf numFmtId="0" fontId="7" fillId="0" borderId="27" xfId="0" applyFont="1" applyBorder="1" applyAlignment="1" applyProtection="1">
      <protection locked="0"/>
    </xf>
    <xf numFmtId="164" fontId="7" fillId="11" borderId="25" xfId="0" quotePrefix="1" applyNumberFormat="1" applyFont="1" applyFill="1" applyBorder="1" applyAlignment="1"/>
    <xf numFmtId="166" fontId="12" fillId="0" borderId="25" xfId="0" quotePrefix="1" applyNumberFormat="1" applyFont="1" applyBorder="1" applyAlignment="1" applyProtection="1">
      <protection locked="0"/>
    </xf>
    <xf numFmtId="166" fontId="7" fillId="0" borderId="26" xfId="0" applyNumberFormat="1" applyFont="1" applyBorder="1" applyAlignment="1" applyProtection="1">
      <protection locked="0"/>
    </xf>
    <xf numFmtId="166" fontId="7" fillId="0" borderId="27" xfId="0" applyNumberFormat="1" applyFont="1" applyBorder="1" applyAlignment="1" applyProtection="1">
      <protection locked="0"/>
    </xf>
    <xf numFmtId="1" fontId="7" fillId="11" borderId="25" xfId="0" quotePrefix="1" applyNumberFormat="1" applyFont="1" applyFill="1" applyBorder="1" applyAlignment="1"/>
    <xf numFmtId="164" fontId="7" fillId="0" borderId="26" xfId="0" applyNumberFormat="1" applyFont="1" applyBorder="1" applyAlignment="1"/>
    <xf numFmtId="164" fontId="7" fillId="0" borderId="27" xfId="0" applyNumberFormat="1" applyFont="1" applyBorder="1" applyAlignment="1"/>
    <xf numFmtId="1" fontId="7" fillId="0" borderId="26" xfId="0" applyNumberFormat="1" applyFont="1" applyBorder="1" applyAlignment="1"/>
    <xf numFmtId="1" fontId="7" fillId="0" borderId="27" xfId="0" applyNumberFormat="1" applyFont="1" applyBorder="1" applyAlignment="1"/>
    <xf numFmtId="0" fontId="12" fillId="0" borderId="25" xfId="0" quotePrefix="1" applyNumberFormat="1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right"/>
      <protection locked="0"/>
    </xf>
    <xf numFmtId="0" fontId="7" fillId="0" borderId="27" xfId="0" applyFont="1" applyBorder="1" applyAlignment="1" applyProtection="1">
      <alignment horizontal="right"/>
      <protection locked="0"/>
    </xf>
    <xf numFmtId="0" fontId="2" fillId="2" borderId="14" xfId="0" applyFont="1" applyFill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12" fillId="0" borderId="25" xfId="0" applyFont="1" applyBorder="1" applyAlignment="1" applyProtection="1">
      <protection locked="0"/>
    </xf>
    <xf numFmtId="2" fontId="7" fillId="11" borderId="25" xfId="0" quotePrefix="1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2" fillId="7" borderId="25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Horn Expansion</a:t>
            </a:r>
          </a:p>
        </c:rich>
      </c:tx>
      <c:layout>
        <c:manualLayout>
          <c:xMode val="edge"/>
          <c:yMode val="edge"/>
          <c:x val="0.4261744966442953"/>
          <c:y val="3.361310605405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77181208053691"/>
          <c:y val="0.11484625253373526"/>
          <c:w val="0.83557046979865768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Expansion (+)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Path!$N$27:$N$150</c:f>
              <c:numCache>
                <c:formatCode>0.0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Path!$P$27:$P$150</c:f>
              <c:numCache>
                <c:formatCode>0</c:formatCode>
                <c:ptCount val="124"/>
                <c:pt idx="0">
                  <c:v>201.4999999999994</c:v>
                </c:pt>
                <c:pt idx="1">
                  <c:v>201.4999999999994</c:v>
                </c:pt>
                <c:pt idx="2">
                  <c:v>201.4999999999994</c:v>
                </c:pt>
                <c:pt idx="3">
                  <c:v>201.49999999999932</c:v>
                </c:pt>
                <c:pt idx="4">
                  <c:v>201.49999999999932</c:v>
                </c:pt>
                <c:pt idx="5">
                  <c:v>201.49999999999932</c:v>
                </c:pt>
                <c:pt idx="6">
                  <c:v>201.67558156229697</c:v>
                </c:pt>
                <c:pt idx="7">
                  <c:v>201.67558156229697</c:v>
                </c:pt>
                <c:pt idx="8">
                  <c:v>201.67558156229697</c:v>
                </c:pt>
                <c:pt idx="9">
                  <c:v>224.10591620548433</c:v>
                </c:pt>
                <c:pt idx="10">
                  <c:v>224.10591620548433</c:v>
                </c:pt>
                <c:pt idx="11">
                  <c:v>224.10591620548433</c:v>
                </c:pt>
                <c:pt idx="12">
                  <c:v>244.36255865881679</c:v>
                </c:pt>
                <c:pt idx="13">
                  <c:v>244.36255865881679</c:v>
                </c:pt>
                <c:pt idx="14">
                  <c:v>244.36255865881679</c:v>
                </c:pt>
                <c:pt idx="15">
                  <c:v>229.50518891534949</c:v>
                </c:pt>
                <c:pt idx="16">
                  <c:v>229.50518891534949</c:v>
                </c:pt>
                <c:pt idx="17">
                  <c:v>229.50518891534949</c:v>
                </c:pt>
                <c:pt idx="18">
                  <c:v>232.3667743277345</c:v>
                </c:pt>
                <c:pt idx="19">
                  <c:v>232.3667743277345</c:v>
                </c:pt>
                <c:pt idx="20">
                  <c:v>232.3667743277345</c:v>
                </c:pt>
                <c:pt idx="21">
                  <c:v>263.76672608773509</c:v>
                </c:pt>
                <c:pt idx="22">
                  <c:v>263.76672608773509</c:v>
                </c:pt>
                <c:pt idx="23">
                  <c:v>263.76672608773509</c:v>
                </c:pt>
                <c:pt idx="24">
                  <c:v>265.072542085615</c:v>
                </c:pt>
                <c:pt idx="25">
                  <c:v>265.072542085615</c:v>
                </c:pt>
                <c:pt idx="26">
                  <c:v>265.072542085615</c:v>
                </c:pt>
                <c:pt idx="27">
                  <c:v>240.89569081186602</c:v>
                </c:pt>
                <c:pt idx="28">
                  <c:v>240.89569081186602</c:v>
                </c:pt>
                <c:pt idx="29">
                  <c:v>240.89569081186602</c:v>
                </c:pt>
                <c:pt idx="30">
                  <c:v>340.67148422089707</c:v>
                </c:pt>
                <c:pt idx="31">
                  <c:v>340.67148422089707</c:v>
                </c:pt>
                <c:pt idx="32">
                  <c:v>340.67148422089707</c:v>
                </c:pt>
                <c:pt idx="33">
                  <c:v>377.12347747267734</c:v>
                </c:pt>
                <c:pt idx="34">
                  <c:v>377.12347747267734</c:v>
                </c:pt>
                <c:pt idx="35">
                  <c:v>377.12347747267734</c:v>
                </c:pt>
                <c:pt idx="36">
                  <c:v>345.15679740339232</c:v>
                </c:pt>
                <c:pt idx="37">
                  <c:v>345.15679740339232</c:v>
                </c:pt>
                <c:pt idx="38">
                  <c:v>345.15679740339232</c:v>
                </c:pt>
                <c:pt idx="39">
                  <c:v>312.99587354796796</c:v>
                </c:pt>
                <c:pt idx="40">
                  <c:v>312.99587354796796</c:v>
                </c:pt>
                <c:pt idx="41">
                  <c:v>312.99587354796796</c:v>
                </c:pt>
                <c:pt idx="42">
                  <c:v>315.87752063940025</c:v>
                </c:pt>
                <c:pt idx="43">
                  <c:v>315.87752063940025</c:v>
                </c:pt>
                <c:pt idx="44">
                  <c:v>315.87752063940025</c:v>
                </c:pt>
                <c:pt idx="45">
                  <c:v>364.00549327331578</c:v>
                </c:pt>
                <c:pt idx="46">
                  <c:v>364.00549327331578</c:v>
                </c:pt>
                <c:pt idx="47">
                  <c:v>364.00549327331578</c:v>
                </c:pt>
                <c:pt idx="48">
                  <c:v>363.1709881245896</c:v>
                </c:pt>
                <c:pt idx="49">
                  <c:v>363.1709881245896</c:v>
                </c:pt>
                <c:pt idx="50">
                  <c:v>363.1709881245896</c:v>
                </c:pt>
                <c:pt idx="51">
                  <c:v>331.12732018264705</c:v>
                </c:pt>
                <c:pt idx="52">
                  <c:v>331.12732018264705</c:v>
                </c:pt>
                <c:pt idx="53">
                  <c:v>331.12732018264705</c:v>
                </c:pt>
                <c:pt idx="54">
                  <c:v>417.21194810851637</c:v>
                </c:pt>
                <c:pt idx="55">
                  <c:v>417.21194810851637</c:v>
                </c:pt>
                <c:pt idx="56">
                  <c:v>417.21194810851637</c:v>
                </c:pt>
                <c:pt idx="57">
                  <c:v>471.60173783081405</c:v>
                </c:pt>
                <c:pt idx="58">
                  <c:v>471.60173783081405</c:v>
                </c:pt>
                <c:pt idx="59">
                  <c:v>471.60173783081405</c:v>
                </c:pt>
                <c:pt idx="60">
                  <c:v>468.35895815200752</c:v>
                </c:pt>
                <c:pt idx="61">
                  <c:v>468.35895815200752</c:v>
                </c:pt>
                <c:pt idx="62">
                  <c:v>468.35895815200752</c:v>
                </c:pt>
                <c:pt idx="63">
                  <c:v>424.07736646453918</c:v>
                </c:pt>
                <c:pt idx="64">
                  <c:v>424.07736646453918</c:v>
                </c:pt>
                <c:pt idx="65">
                  <c:v>424.07736646453918</c:v>
                </c:pt>
                <c:pt idx="66">
                  <c:v>426.93895187692419</c:v>
                </c:pt>
                <c:pt idx="67">
                  <c:v>426.93895187692419</c:v>
                </c:pt>
                <c:pt idx="68">
                  <c:v>426.93895187692419</c:v>
                </c:pt>
                <c:pt idx="69">
                  <c:v>491.2304176749825</c:v>
                </c:pt>
                <c:pt idx="70">
                  <c:v>491.2304176749825</c:v>
                </c:pt>
                <c:pt idx="71">
                  <c:v>491.2304176749825</c:v>
                </c:pt>
                <c:pt idx="72">
                  <c:v>511.62199366913666</c:v>
                </c:pt>
                <c:pt idx="73">
                  <c:v>511.62199366913666</c:v>
                </c:pt>
                <c:pt idx="74">
                  <c:v>511.62199366913666</c:v>
                </c:pt>
                <c:pt idx="75">
                  <c:v>469.82527239543418</c:v>
                </c:pt>
                <c:pt idx="76">
                  <c:v>469.82527239543418</c:v>
                </c:pt>
                <c:pt idx="77">
                  <c:v>469.82527239543418</c:v>
                </c:pt>
                <c:pt idx="78">
                  <c:v>586.07399488390729</c:v>
                </c:pt>
                <c:pt idx="79">
                  <c:v>586.07399488390729</c:v>
                </c:pt>
                <c:pt idx="80">
                  <c:v>586.07399488390729</c:v>
                </c:pt>
                <c:pt idx="81">
                  <c:v>685.87331116636142</c:v>
                </c:pt>
                <c:pt idx="82">
                  <c:v>685.87331116636142</c:v>
                </c:pt>
                <c:pt idx="83">
                  <c:v>685.87331116636142</c:v>
                </c:pt>
                <c:pt idx="84">
                  <c:v>743.85178385462245</c:v>
                </c:pt>
                <c:pt idx="85">
                  <c:v>743.85178385462245</c:v>
                </c:pt>
                <c:pt idx="86">
                  <c:v>743.85178385462245</c:v>
                </c:pt>
                <c:pt idx="87">
                  <c:v>690.39796122296661</c:v>
                </c:pt>
                <c:pt idx="88">
                  <c:v>690.39796122296661</c:v>
                </c:pt>
                <c:pt idx="89">
                  <c:v>690.39796122296661</c:v>
                </c:pt>
                <c:pt idx="90">
                  <c:v>776.32099688590051</c:v>
                </c:pt>
                <c:pt idx="91">
                  <c:v>776.32099688590051</c:v>
                </c:pt>
                <c:pt idx="92">
                  <c:v>776.32099688590051</c:v>
                </c:pt>
                <c:pt idx="93">
                  <c:v>903.16387692910348</c:v>
                </c:pt>
                <c:pt idx="94">
                  <c:v>903.16387692910348</c:v>
                </c:pt>
                <c:pt idx="95">
                  <c:v>903.16387692910348</c:v>
                </c:pt>
                <c:pt idx="96">
                  <c:v>966.29183524917926</c:v>
                </c:pt>
                <c:pt idx="97">
                  <c:v>966.29183524917926</c:v>
                </c:pt>
                <c:pt idx="98">
                  <c:v>966.29183524917926</c:v>
                </c:pt>
                <c:pt idx="99">
                  <c:v>893.76564715135498</c:v>
                </c:pt>
                <c:pt idx="100">
                  <c:v>893.76564715135498</c:v>
                </c:pt>
                <c:pt idx="101">
                  <c:v>893.76564715135498</c:v>
                </c:pt>
                <c:pt idx="102">
                  <c:v>906.81562403492171</c:v>
                </c:pt>
                <c:pt idx="103">
                  <c:v>906.81562403492171</c:v>
                </c:pt>
                <c:pt idx="104">
                  <c:v>906.81562403492171</c:v>
                </c:pt>
                <c:pt idx="105">
                  <c:v>971.92861543923243</c:v>
                </c:pt>
                <c:pt idx="106">
                  <c:v>971.92861543923243</c:v>
                </c:pt>
                <c:pt idx="107">
                  <c:v>971.92861543923243</c:v>
                </c:pt>
                <c:pt idx="108">
                  <c:v>1039.458285939595</c:v>
                </c:pt>
                <c:pt idx="109">
                  <c:v>1039.458285939595</c:v>
                </c:pt>
                <c:pt idx="110">
                  <c:v>1039.458285939595</c:v>
                </c:pt>
                <c:pt idx="111">
                  <c:v>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D5-4C6D-815B-441A821032B2}"/>
            </c:ext>
          </c:extLst>
        </c:ser>
        <c:ser>
          <c:idx val="1"/>
          <c:order val="1"/>
          <c:tx>
            <c:v>Expansion (-)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Path!$N$27:$N$150</c:f>
              <c:numCache>
                <c:formatCode>0.0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Path!$Q$27:$Q$150</c:f>
              <c:numCache>
                <c:formatCode>0</c:formatCode>
                <c:ptCount val="124"/>
                <c:pt idx="0">
                  <c:v>-201.4999999999994</c:v>
                </c:pt>
                <c:pt idx="1">
                  <c:v>-201.4999999999994</c:v>
                </c:pt>
                <c:pt idx="2">
                  <c:v>-201.4999999999994</c:v>
                </c:pt>
                <c:pt idx="3">
                  <c:v>-201.49999999999932</c:v>
                </c:pt>
                <c:pt idx="4">
                  <c:v>-201.49999999999932</c:v>
                </c:pt>
                <c:pt idx="5">
                  <c:v>-201.49999999999932</c:v>
                </c:pt>
                <c:pt idx="6">
                  <c:v>-201.67558156229697</c:v>
                </c:pt>
                <c:pt idx="7">
                  <c:v>-201.67558156229697</c:v>
                </c:pt>
                <c:pt idx="8">
                  <c:v>-201.67558156229697</c:v>
                </c:pt>
                <c:pt idx="9">
                  <c:v>-224.10591620548433</c:v>
                </c:pt>
                <c:pt idx="10">
                  <c:v>-224.10591620548433</c:v>
                </c:pt>
                <c:pt idx="11">
                  <c:v>-224.10591620548433</c:v>
                </c:pt>
                <c:pt idx="12">
                  <c:v>-244.36255865881679</c:v>
                </c:pt>
                <c:pt idx="13">
                  <c:v>-244.36255865881679</c:v>
                </c:pt>
                <c:pt idx="14">
                  <c:v>-244.36255865881679</c:v>
                </c:pt>
                <c:pt idx="15">
                  <c:v>-229.50518891534949</c:v>
                </c:pt>
                <c:pt idx="16">
                  <c:v>-229.50518891534949</c:v>
                </c:pt>
                <c:pt idx="17">
                  <c:v>-229.50518891534949</c:v>
                </c:pt>
                <c:pt idx="18">
                  <c:v>-232.3667743277345</c:v>
                </c:pt>
                <c:pt idx="19">
                  <c:v>-232.3667743277345</c:v>
                </c:pt>
                <c:pt idx="20">
                  <c:v>-232.3667743277345</c:v>
                </c:pt>
                <c:pt idx="21">
                  <c:v>-263.76672608773509</c:v>
                </c:pt>
                <c:pt idx="22">
                  <c:v>-263.76672608773509</c:v>
                </c:pt>
                <c:pt idx="23">
                  <c:v>-263.76672608773509</c:v>
                </c:pt>
                <c:pt idx="24">
                  <c:v>-265.072542085615</c:v>
                </c:pt>
                <c:pt idx="25">
                  <c:v>-265.072542085615</c:v>
                </c:pt>
                <c:pt idx="26">
                  <c:v>-265.072542085615</c:v>
                </c:pt>
                <c:pt idx="27">
                  <c:v>-240.89569081186602</c:v>
                </c:pt>
                <c:pt idx="28">
                  <c:v>-240.89569081186602</c:v>
                </c:pt>
                <c:pt idx="29">
                  <c:v>-240.89569081186602</c:v>
                </c:pt>
                <c:pt idx="30">
                  <c:v>-340.67148422089707</c:v>
                </c:pt>
                <c:pt idx="31">
                  <c:v>-340.67148422089707</c:v>
                </c:pt>
                <c:pt idx="32">
                  <c:v>-340.67148422089707</c:v>
                </c:pt>
                <c:pt idx="33">
                  <c:v>-377.12347747267734</c:v>
                </c:pt>
                <c:pt idx="34">
                  <c:v>-377.12347747267734</c:v>
                </c:pt>
                <c:pt idx="35">
                  <c:v>-377.12347747267734</c:v>
                </c:pt>
                <c:pt idx="36">
                  <c:v>-345.15679740339232</c:v>
                </c:pt>
                <c:pt idx="37">
                  <c:v>-345.15679740339232</c:v>
                </c:pt>
                <c:pt idx="38">
                  <c:v>-345.15679740339232</c:v>
                </c:pt>
                <c:pt idx="39">
                  <c:v>-312.99587354796796</c:v>
                </c:pt>
                <c:pt idx="40">
                  <c:v>-312.99587354796796</c:v>
                </c:pt>
                <c:pt idx="41">
                  <c:v>-312.99587354796796</c:v>
                </c:pt>
                <c:pt idx="42">
                  <c:v>-315.87752063940025</c:v>
                </c:pt>
                <c:pt idx="43">
                  <c:v>-315.87752063940025</c:v>
                </c:pt>
                <c:pt idx="44">
                  <c:v>-315.87752063940025</c:v>
                </c:pt>
                <c:pt idx="45">
                  <c:v>-364.00549327331578</c:v>
                </c:pt>
                <c:pt idx="46">
                  <c:v>-364.00549327331578</c:v>
                </c:pt>
                <c:pt idx="47">
                  <c:v>-364.00549327331578</c:v>
                </c:pt>
                <c:pt idx="48">
                  <c:v>-363.1709881245896</c:v>
                </c:pt>
                <c:pt idx="49">
                  <c:v>-363.1709881245896</c:v>
                </c:pt>
                <c:pt idx="50">
                  <c:v>-363.1709881245896</c:v>
                </c:pt>
                <c:pt idx="51">
                  <c:v>-331.12732018264705</c:v>
                </c:pt>
                <c:pt idx="52">
                  <c:v>-331.12732018264705</c:v>
                </c:pt>
                <c:pt idx="53">
                  <c:v>-331.12732018264705</c:v>
                </c:pt>
                <c:pt idx="54">
                  <c:v>-417.21194810851637</c:v>
                </c:pt>
                <c:pt idx="55">
                  <c:v>-417.21194810851637</c:v>
                </c:pt>
                <c:pt idx="56">
                  <c:v>-417.21194810851637</c:v>
                </c:pt>
                <c:pt idx="57">
                  <c:v>-471.60173783081405</c:v>
                </c:pt>
                <c:pt idx="58">
                  <c:v>-471.60173783081405</c:v>
                </c:pt>
                <c:pt idx="59">
                  <c:v>-471.60173783081405</c:v>
                </c:pt>
                <c:pt idx="60">
                  <c:v>-468.35895815200752</c:v>
                </c:pt>
                <c:pt idx="61">
                  <c:v>-468.35895815200752</c:v>
                </c:pt>
                <c:pt idx="62">
                  <c:v>-468.35895815200752</c:v>
                </c:pt>
                <c:pt idx="63">
                  <c:v>-424.07736646453918</c:v>
                </c:pt>
                <c:pt idx="64">
                  <c:v>-424.07736646453918</c:v>
                </c:pt>
                <c:pt idx="65">
                  <c:v>-424.07736646453918</c:v>
                </c:pt>
                <c:pt idx="66">
                  <c:v>-426.93895187692419</c:v>
                </c:pt>
                <c:pt idx="67">
                  <c:v>-426.93895187692419</c:v>
                </c:pt>
                <c:pt idx="68">
                  <c:v>-426.93895187692419</c:v>
                </c:pt>
                <c:pt idx="69">
                  <c:v>-491.2304176749825</c:v>
                </c:pt>
                <c:pt idx="70">
                  <c:v>-491.2304176749825</c:v>
                </c:pt>
                <c:pt idx="71">
                  <c:v>-491.2304176749825</c:v>
                </c:pt>
                <c:pt idx="72">
                  <c:v>-511.62199366913666</c:v>
                </c:pt>
                <c:pt idx="73">
                  <c:v>-511.62199366913666</c:v>
                </c:pt>
                <c:pt idx="74">
                  <c:v>-511.62199366913666</c:v>
                </c:pt>
                <c:pt idx="75">
                  <c:v>-469.82527239543418</c:v>
                </c:pt>
                <c:pt idx="76">
                  <c:v>-469.82527239543418</c:v>
                </c:pt>
                <c:pt idx="77">
                  <c:v>-469.82527239543418</c:v>
                </c:pt>
                <c:pt idx="78">
                  <c:v>-586.07399488390729</c:v>
                </c:pt>
                <c:pt idx="79">
                  <c:v>-586.07399488390729</c:v>
                </c:pt>
                <c:pt idx="80">
                  <c:v>-586.07399488390729</c:v>
                </c:pt>
                <c:pt idx="81">
                  <c:v>-685.87331116636142</c:v>
                </c:pt>
                <c:pt idx="82">
                  <c:v>-685.87331116636142</c:v>
                </c:pt>
                <c:pt idx="83">
                  <c:v>-685.87331116636142</c:v>
                </c:pt>
                <c:pt idx="84">
                  <c:v>-743.85178385462245</c:v>
                </c:pt>
                <c:pt idx="85">
                  <c:v>-743.85178385462245</c:v>
                </c:pt>
                <c:pt idx="86">
                  <c:v>-743.85178385462245</c:v>
                </c:pt>
                <c:pt idx="87">
                  <c:v>-690.39796122296661</c:v>
                </c:pt>
                <c:pt idx="88">
                  <c:v>-690.39796122296661</c:v>
                </c:pt>
                <c:pt idx="89">
                  <c:v>-690.39796122296661</c:v>
                </c:pt>
                <c:pt idx="90">
                  <c:v>-776.32099688590051</c:v>
                </c:pt>
                <c:pt idx="91">
                  <c:v>-776.32099688590051</c:v>
                </c:pt>
                <c:pt idx="92">
                  <c:v>-776.32099688590051</c:v>
                </c:pt>
                <c:pt idx="93">
                  <c:v>-903.16387692910348</c:v>
                </c:pt>
                <c:pt idx="94">
                  <c:v>-903.16387692910348</c:v>
                </c:pt>
                <c:pt idx="95">
                  <c:v>-903.16387692910348</c:v>
                </c:pt>
                <c:pt idx="96">
                  <c:v>-966.29183524917926</c:v>
                </c:pt>
                <c:pt idx="97">
                  <c:v>-966.29183524917926</c:v>
                </c:pt>
                <c:pt idx="98">
                  <c:v>-966.29183524917926</c:v>
                </c:pt>
                <c:pt idx="99">
                  <c:v>-893.76564715135498</c:v>
                </c:pt>
                <c:pt idx="100">
                  <c:v>-893.76564715135498</c:v>
                </c:pt>
                <c:pt idx="101">
                  <c:v>-893.76564715135498</c:v>
                </c:pt>
                <c:pt idx="102">
                  <c:v>-906.81562403492171</c:v>
                </c:pt>
                <c:pt idx="103">
                  <c:v>-906.81562403492171</c:v>
                </c:pt>
                <c:pt idx="104">
                  <c:v>-906.81562403492171</c:v>
                </c:pt>
                <c:pt idx="105">
                  <c:v>-971.92861543923243</c:v>
                </c:pt>
                <c:pt idx="106">
                  <c:v>-971.92861543923243</c:v>
                </c:pt>
                <c:pt idx="107">
                  <c:v>-971.92861543923243</c:v>
                </c:pt>
                <c:pt idx="108">
                  <c:v>-1039.458285939595</c:v>
                </c:pt>
                <c:pt idx="109">
                  <c:v>-1039.458285939595</c:v>
                </c:pt>
                <c:pt idx="110">
                  <c:v>-1039.458285939595</c:v>
                </c:pt>
                <c:pt idx="111">
                  <c:v>-1041.4632683442262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D5-4C6D-815B-441A821032B2}"/>
            </c:ext>
          </c:extLst>
        </c:ser>
        <c:ser>
          <c:idx val="2"/>
          <c:order val="2"/>
          <c:tx>
            <c:v>Parabolic (+)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Path!$N$27:$N$150</c:f>
              <c:numCache>
                <c:formatCode>0.0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Path!$S$27:$S$150</c:f>
              <c:numCache>
                <c:formatCode>0</c:formatCode>
                <c:ptCount val="124"/>
                <c:pt idx="0">
                  <c:v>201.4999999999994</c:v>
                </c:pt>
                <c:pt idx="1">
                  <c:v>201.49999999999932</c:v>
                </c:pt>
                <c:pt idx="2">
                  <c:v>201.49999999999932</c:v>
                </c:pt>
                <c:pt idx="3">
                  <c:v>201.49999999999932</c:v>
                </c:pt>
                <c:pt idx="4">
                  <c:v>201.49999999999932</c:v>
                </c:pt>
                <c:pt idx="5">
                  <c:v>201.49999999999932</c:v>
                </c:pt>
                <c:pt idx="6">
                  <c:v>250.49305444206237</c:v>
                </c:pt>
                <c:pt idx="7">
                  <c:v>250.49305444206237</c:v>
                </c:pt>
                <c:pt idx="8">
                  <c:v>250.49305444206237</c:v>
                </c:pt>
                <c:pt idx="9">
                  <c:v>255.13936962445334</c:v>
                </c:pt>
                <c:pt idx="10">
                  <c:v>255.13936962445334</c:v>
                </c:pt>
                <c:pt idx="11">
                  <c:v>255.13936962445334</c:v>
                </c:pt>
                <c:pt idx="12">
                  <c:v>261.53127612245339</c:v>
                </c:pt>
                <c:pt idx="13">
                  <c:v>261.53127612245339</c:v>
                </c:pt>
                <c:pt idx="14">
                  <c:v>261.53127612245339</c:v>
                </c:pt>
                <c:pt idx="15">
                  <c:v>265.46554069166206</c:v>
                </c:pt>
                <c:pt idx="16">
                  <c:v>265.46554069166206</c:v>
                </c:pt>
                <c:pt idx="17">
                  <c:v>265.46554069166206</c:v>
                </c:pt>
                <c:pt idx="18">
                  <c:v>268.33307428647771</c:v>
                </c:pt>
                <c:pt idx="19">
                  <c:v>268.33307428647771</c:v>
                </c:pt>
                <c:pt idx="20">
                  <c:v>268.33307428647771</c:v>
                </c:pt>
                <c:pt idx="21">
                  <c:v>273.16566496989418</c:v>
                </c:pt>
                <c:pt idx="22">
                  <c:v>273.16566496989418</c:v>
                </c:pt>
                <c:pt idx="23">
                  <c:v>273.16566496989418</c:v>
                </c:pt>
                <c:pt idx="24">
                  <c:v>280.1679679265809</c:v>
                </c:pt>
                <c:pt idx="25">
                  <c:v>280.1679679265809</c:v>
                </c:pt>
                <c:pt idx="26">
                  <c:v>280.1679679265809</c:v>
                </c:pt>
                <c:pt idx="27">
                  <c:v>285.2353453531972</c:v>
                </c:pt>
                <c:pt idx="28">
                  <c:v>285.2353453531972</c:v>
                </c:pt>
                <c:pt idx="29">
                  <c:v>285.2353453531972</c:v>
                </c:pt>
                <c:pt idx="30">
                  <c:v>385.21853589907016</c:v>
                </c:pt>
                <c:pt idx="31">
                  <c:v>385.21853589907016</c:v>
                </c:pt>
                <c:pt idx="32">
                  <c:v>385.21853589907016</c:v>
                </c:pt>
                <c:pt idx="33">
                  <c:v>391.41814748423263</c:v>
                </c:pt>
                <c:pt idx="34">
                  <c:v>391.41814748423263</c:v>
                </c:pt>
                <c:pt idx="35">
                  <c:v>391.41814748423263</c:v>
                </c:pt>
                <c:pt idx="36">
                  <c:v>401.49074933691719</c:v>
                </c:pt>
                <c:pt idx="37">
                  <c:v>401.49074933691719</c:v>
                </c:pt>
                <c:pt idx="38">
                  <c:v>401.49074933691719</c:v>
                </c:pt>
                <c:pt idx="39">
                  <c:v>409.42939684614845</c:v>
                </c:pt>
                <c:pt idx="40">
                  <c:v>409.42939684614845</c:v>
                </c:pt>
                <c:pt idx="41">
                  <c:v>409.42939684614845</c:v>
                </c:pt>
                <c:pt idx="42">
                  <c:v>412.30698216151825</c:v>
                </c:pt>
                <c:pt idx="43">
                  <c:v>412.30698216151825</c:v>
                </c:pt>
                <c:pt idx="44">
                  <c:v>412.30698216151825</c:v>
                </c:pt>
                <c:pt idx="45">
                  <c:v>418.403301873072</c:v>
                </c:pt>
                <c:pt idx="46">
                  <c:v>418.403301873072</c:v>
                </c:pt>
                <c:pt idx="47">
                  <c:v>418.403301873072</c:v>
                </c:pt>
                <c:pt idx="48">
                  <c:v>427.57007629032262</c:v>
                </c:pt>
                <c:pt idx="49">
                  <c:v>427.57007629032262</c:v>
                </c:pt>
                <c:pt idx="50">
                  <c:v>427.57007629032262</c:v>
                </c:pt>
                <c:pt idx="51">
                  <c:v>434.4158515708354</c:v>
                </c:pt>
                <c:pt idx="52">
                  <c:v>434.4158515708354</c:v>
                </c:pt>
                <c:pt idx="53">
                  <c:v>434.4158515708354</c:v>
                </c:pt>
                <c:pt idx="54">
                  <c:v>520.67941774162205</c:v>
                </c:pt>
                <c:pt idx="55">
                  <c:v>520.67941774162205</c:v>
                </c:pt>
                <c:pt idx="56">
                  <c:v>520.67941774162205</c:v>
                </c:pt>
                <c:pt idx="57">
                  <c:v>529.17968998791798</c:v>
                </c:pt>
                <c:pt idx="58">
                  <c:v>529.17968998791798</c:v>
                </c:pt>
                <c:pt idx="59">
                  <c:v>529.17968998791798</c:v>
                </c:pt>
                <c:pt idx="60">
                  <c:v>541.6256429648131</c:v>
                </c:pt>
                <c:pt idx="61">
                  <c:v>541.6256429648131</c:v>
                </c:pt>
                <c:pt idx="62">
                  <c:v>541.6256429648131</c:v>
                </c:pt>
                <c:pt idx="63">
                  <c:v>550.71668895754328</c:v>
                </c:pt>
                <c:pt idx="64">
                  <c:v>550.71668895754328</c:v>
                </c:pt>
                <c:pt idx="65">
                  <c:v>550.71668895754328</c:v>
                </c:pt>
                <c:pt idx="66">
                  <c:v>553.58422255235882</c:v>
                </c:pt>
                <c:pt idx="67">
                  <c:v>553.58422255235882</c:v>
                </c:pt>
                <c:pt idx="68">
                  <c:v>553.58422255235882</c:v>
                </c:pt>
                <c:pt idx="69">
                  <c:v>563.03226565585749</c:v>
                </c:pt>
                <c:pt idx="70">
                  <c:v>563.03226565585749</c:v>
                </c:pt>
                <c:pt idx="71">
                  <c:v>563.03226565585749</c:v>
                </c:pt>
                <c:pt idx="72">
                  <c:v>576.31362912727764</c:v>
                </c:pt>
                <c:pt idx="73">
                  <c:v>576.31362912727764</c:v>
                </c:pt>
                <c:pt idx="74">
                  <c:v>576.31362912727764</c:v>
                </c:pt>
                <c:pt idx="75">
                  <c:v>585.64792594998517</c:v>
                </c:pt>
                <c:pt idx="76">
                  <c:v>585.64792594998517</c:v>
                </c:pt>
                <c:pt idx="77">
                  <c:v>585.64792594998517</c:v>
                </c:pt>
                <c:pt idx="78">
                  <c:v>702.1382867294891</c:v>
                </c:pt>
                <c:pt idx="79">
                  <c:v>702.1382867294891</c:v>
                </c:pt>
                <c:pt idx="80">
                  <c:v>702.1382867294891</c:v>
                </c:pt>
                <c:pt idx="81">
                  <c:v>716.05802922017301</c:v>
                </c:pt>
                <c:pt idx="82">
                  <c:v>716.05802922017301</c:v>
                </c:pt>
                <c:pt idx="83">
                  <c:v>716.05802922017301</c:v>
                </c:pt>
                <c:pt idx="84">
                  <c:v>735.00436449047527</c:v>
                </c:pt>
                <c:pt idx="85">
                  <c:v>735.00436449047527</c:v>
                </c:pt>
                <c:pt idx="86">
                  <c:v>735.00436449047527</c:v>
                </c:pt>
                <c:pt idx="87">
                  <c:v>747.85755044446148</c:v>
                </c:pt>
                <c:pt idx="88">
                  <c:v>747.85755044446148</c:v>
                </c:pt>
                <c:pt idx="89">
                  <c:v>747.85755044446148</c:v>
                </c:pt>
                <c:pt idx="90">
                  <c:v>833.95918846149721</c:v>
                </c:pt>
                <c:pt idx="91">
                  <c:v>833.95918846149721</c:v>
                </c:pt>
                <c:pt idx="92">
                  <c:v>833.95918846149721</c:v>
                </c:pt>
                <c:pt idx="93">
                  <c:v>851.96384248598451</c:v>
                </c:pt>
                <c:pt idx="94">
                  <c:v>851.96384248598451</c:v>
                </c:pt>
                <c:pt idx="95">
                  <c:v>851.96384248598451</c:v>
                </c:pt>
                <c:pt idx="96">
                  <c:v>876.73113462263655</c:v>
                </c:pt>
                <c:pt idx="97">
                  <c:v>876.73113462263655</c:v>
                </c:pt>
                <c:pt idx="98">
                  <c:v>876.73113462263655</c:v>
                </c:pt>
                <c:pt idx="99">
                  <c:v>893.7385210544428</c:v>
                </c:pt>
                <c:pt idx="100">
                  <c:v>893.7385210544428</c:v>
                </c:pt>
                <c:pt idx="101">
                  <c:v>893.7385210544428</c:v>
                </c:pt>
                <c:pt idx="102">
                  <c:v>906.81562403492171</c:v>
                </c:pt>
                <c:pt idx="103">
                  <c:v>906.81562403492171</c:v>
                </c:pt>
                <c:pt idx="104">
                  <c:v>906.81562403492171</c:v>
                </c:pt>
                <c:pt idx="105">
                  <c:v>971.92861543923232</c:v>
                </c:pt>
                <c:pt idx="106">
                  <c:v>971.92861543923232</c:v>
                </c:pt>
                <c:pt idx="107">
                  <c:v>971.92861543923232</c:v>
                </c:pt>
                <c:pt idx="108">
                  <c:v>1039.4582859395948</c:v>
                </c:pt>
                <c:pt idx="109">
                  <c:v>1039.4582859395948</c:v>
                </c:pt>
                <c:pt idx="110">
                  <c:v>1039.4582859395948</c:v>
                </c:pt>
                <c:pt idx="111">
                  <c:v>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D5-4C6D-815B-441A821032B2}"/>
            </c:ext>
          </c:extLst>
        </c:ser>
        <c:ser>
          <c:idx val="3"/>
          <c:order val="3"/>
          <c:tx>
            <c:v>Parabolic (-)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Path!$N$27:$N$150</c:f>
              <c:numCache>
                <c:formatCode>0.0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Path!$T$27:$T$150</c:f>
              <c:numCache>
                <c:formatCode>0</c:formatCode>
                <c:ptCount val="124"/>
                <c:pt idx="0">
                  <c:v>-201.4999999999994</c:v>
                </c:pt>
                <c:pt idx="1">
                  <c:v>-201.49999999999932</c:v>
                </c:pt>
                <c:pt idx="2">
                  <c:v>-201.49999999999932</c:v>
                </c:pt>
                <c:pt idx="3">
                  <c:v>-201.49999999999932</c:v>
                </c:pt>
                <c:pt idx="4">
                  <c:v>-201.49999999999932</c:v>
                </c:pt>
                <c:pt idx="5">
                  <c:v>-201.49999999999932</c:v>
                </c:pt>
                <c:pt idx="6">
                  <c:v>-250.49305444206237</c:v>
                </c:pt>
                <c:pt idx="7">
                  <c:v>-250.49305444206237</c:v>
                </c:pt>
                <c:pt idx="8">
                  <c:v>-250.49305444206237</c:v>
                </c:pt>
                <c:pt idx="9">
                  <c:v>-255.13936962445334</c:v>
                </c:pt>
                <c:pt idx="10">
                  <c:v>-255.13936962445334</c:v>
                </c:pt>
                <c:pt idx="11">
                  <c:v>-255.13936962445334</c:v>
                </c:pt>
                <c:pt idx="12">
                  <c:v>-261.53127612245339</c:v>
                </c:pt>
                <c:pt idx="13">
                  <c:v>-261.53127612245339</c:v>
                </c:pt>
                <c:pt idx="14">
                  <c:v>-261.53127612245339</c:v>
                </c:pt>
                <c:pt idx="15">
                  <c:v>-265.46554069166206</c:v>
                </c:pt>
                <c:pt idx="16">
                  <c:v>-265.46554069166206</c:v>
                </c:pt>
                <c:pt idx="17">
                  <c:v>-265.46554069166206</c:v>
                </c:pt>
                <c:pt idx="18">
                  <c:v>-268.33307428647771</c:v>
                </c:pt>
                <c:pt idx="19">
                  <c:v>-268.33307428647771</c:v>
                </c:pt>
                <c:pt idx="20">
                  <c:v>-268.33307428647771</c:v>
                </c:pt>
                <c:pt idx="21">
                  <c:v>-273.16566496989418</c:v>
                </c:pt>
                <c:pt idx="22">
                  <c:v>-273.16566496989418</c:v>
                </c:pt>
                <c:pt idx="23">
                  <c:v>-273.16566496989418</c:v>
                </c:pt>
                <c:pt idx="24">
                  <c:v>-280.1679679265809</c:v>
                </c:pt>
                <c:pt idx="25">
                  <c:v>-280.1679679265809</c:v>
                </c:pt>
                <c:pt idx="26">
                  <c:v>-280.1679679265809</c:v>
                </c:pt>
                <c:pt idx="27">
                  <c:v>-285.2353453531972</c:v>
                </c:pt>
                <c:pt idx="28">
                  <c:v>-285.2353453531972</c:v>
                </c:pt>
                <c:pt idx="29">
                  <c:v>-285.2353453531972</c:v>
                </c:pt>
                <c:pt idx="30">
                  <c:v>-385.21853589907016</c:v>
                </c:pt>
                <c:pt idx="31">
                  <c:v>-385.21853589907016</c:v>
                </c:pt>
                <c:pt idx="32">
                  <c:v>-385.21853589907016</c:v>
                </c:pt>
                <c:pt idx="33">
                  <c:v>-391.41814748423263</c:v>
                </c:pt>
                <c:pt idx="34">
                  <c:v>-391.41814748423263</c:v>
                </c:pt>
                <c:pt idx="35">
                  <c:v>-391.41814748423263</c:v>
                </c:pt>
                <c:pt idx="36">
                  <c:v>-401.49074933691719</c:v>
                </c:pt>
                <c:pt idx="37">
                  <c:v>-401.49074933691719</c:v>
                </c:pt>
                <c:pt idx="38">
                  <c:v>-401.49074933691719</c:v>
                </c:pt>
                <c:pt idx="39">
                  <c:v>-409.42939684614845</c:v>
                </c:pt>
                <c:pt idx="40">
                  <c:v>-409.42939684614845</c:v>
                </c:pt>
                <c:pt idx="41">
                  <c:v>-409.42939684614845</c:v>
                </c:pt>
                <c:pt idx="42">
                  <c:v>-412.30698216151825</c:v>
                </c:pt>
                <c:pt idx="43">
                  <c:v>-412.30698216151825</c:v>
                </c:pt>
                <c:pt idx="44">
                  <c:v>-412.30698216151825</c:v>
                </c:pt>
                <c:pt idx="45">
                  <c:v>-418.403301873072</c:v>
                </c:pt>
                <c:pt idx="46">
                  <c:v>-418.403301873072</c:v>
                </c:pt>
                <c:pt idx="47">
                  <c:v>-418.403301873072</c:v>
                </c:pt>
                <c:pt idx="48">
                  <c:v>-427.57007629032262</c:v>
                </c:pt>
                <c:pt idx="49">
                  <c:v>-427.57007629032262</c:v>
                </c:pt>
                <c:pt idx="50">
                  <c:v>-427.57007629032262</c:v>
                </c:pt>
                <c:pt idx="51">
                  <c:v>-434.4158515708354</c:v>
                </c:pt>
                <c:pt idx="52">
                  <c:v>-434.4158515708354</c:v>
                </c:pt>
                <c:pt idx="53">
                  <c:v>-434.4158515708354</c:v>
                </c:pt>
                <c:pt idx="54">
                  <c:v>-520.67941774162205</c:v>
                </c:pt>
                <c:pt idx="55">
                  <c:v>-520.67941774162205</c:v>
                </c:pt>
                <c:pt idx="56">
                  <c:v>-520.67941774162205</c:v>
                </c:pt>
                <c:pt idx="57">
                  <c:v>-529.17968998791798</c:v>
                </c:pt>
                <c:pt idx="58">
                  <c:v>-529.17968998791798</c:v>
                </c:pt>
                <c:pt idx="59">
                  <c:v>-529.17968998791798</c:v>
                </c:pt>
                <c:pt idx="60">
                  <c:v>-541.6256429648131</c:v>
                </c:pt>
                <c:pt idx="61">
                  <c:v>-541.6256429648131</c:v>
                </c:pt>
                <c:pt idx="62">
                  <c:v>-541.6256429648131</c:v>
                </c:pt>
                <c:pt idx="63">
                  <c:v>-550.71668895754328</c:v>
                </c:pt>
                <c:pt idx="64">
                  <c:v>-550.71668895754328</c:v>
                </c:pt>
                <c:pt idx="65">
                  <c:v>-550.71668895754328</c:v>
                </c:pt>
                <c:pt idx="66">
                  <c:v>-553.58422255235882</c:v>
                </c:pt>
                <c:pt idx="67">
                  <c:v>-553.58422255235882</c:v>
                </c:pt>
                <c:pt idx="68">
                  <c:v>-553.58422255235882</c:v>
                </c:pt>
                <c:pt idx="69">
                  <c:v>-563.03226565585749</c:v>
                </c:pt>
                <c:pt idx="70">
                  <c:v>-563.03226565585749</c:v>
                </c:pt>
                <c:pt idx="71">
                  <c:v>-563.03226565585749</c:v>
                </c:pt>
                <c:pt idx="72">
                  <c:v>-576.31362912727764</c:v>
                </c:pt>
                <c:pt idx="73">
                  <c:v>-576.31362912727764</c:v>
                </c:pt>
                <c:pt idx="74">
                  <c:v>-576.31362912727764</c:v>
                </c:pt>
                <c:pt idx="75">
                  <c:v>-585.64792594998517</c:v>
                </c:pt>
                <c:pt idx="76">
                  <c:v>-585.64792594998517</c:v>
                </c:pt>
                <c:pt idx="77">
                  <c:v>-585.64792594998517</c:v>
                </c:pt>
                <c:pt idx="78">
                  <c:v>-702.1382867294891</c:v>
                </c:pt>
                <c:pt idx="79">
                  <c:v>-702.1382867294891</c:v>
                </c:pt>
                <c:pt idx="80">
                  <c:v>-702.1382867294891</c:v>
                </c:pt>
                <c:pt idx="81">
                  <c:v>-716.05802922017301</c:v>
                </c:pt>
                <c:pt idx="82">
                  <c:v>-716.05802922017301</c:v>
                </c:pt>
                <c:pt idx="83">
                  <c:v>-716.05802922017301</c:v>
                </c:pt>
                <c:pt idx="84">
                  <c:v>-735.00436449047527</c:v>
                </c:pt>
                <c:pt idx="85">
                  <c:v>-735.00436449047527</c:v>
                </c:pt>
                <c:pt idx="86">
                  <c:v>-735.00436449047527</c:v>
                </c:pt>
                <c:pt idx="87">
                  <c:v>-747.85755044446148</c:v>
                </c:pt>
                <c:pt idx="88">
                  <c:v>-747.85755044446148</c:v>
                </c:pt>
                <c:pt idx="89">
                  <c:v>-747.85755044446148</c:v>
                </c:pt>
                <c:pt idx="90">
                  <c:v>-833.95918846149721</c:v>
                </c:pt>
                <c:pt idx="91">
                  <c:v>-833.95918846149721</c:v>
                </c:pt>
                <c:pt idx="92">
                  <c:v>-833.95918846149721</c:v>
                </c:pt>
                <c:pt idx="93">
                  <c:v>-851.96384248598451</c:v>
                </c:pt>
                <c:pt idx="94">
                  <c:v>-851.96384248598451</c:v>
                </c:pt>
                <c:pt idx="95">
                  <c:v>-851.96384248598451</c:v>
                </c:pt>
                <c:pt idx="96">
                  <c:v>-876.73113462263655</c:v>
                </c:pt>
                <c:pt idx="97">
                  <c:v>-876.73113462263655</c:v>
                </c:pt>
                <c:pt idx="98">
                  <c:v>-876.73113462263655</c:v>
                </c:pt>
                <c:pt idx="99">
                  <c:v>-893.7385210544428</c:v>
                </c:pt>
                <c:pt idx="100">
                  <c:v>-893.7385210544428</c:v>
                </c:pt>
                <c:pt idx="101">
                  <c:v>-893.7385210544428</c:v>
                </c:pt>
                <c:pt idx="102">
                  <c:v>-906.81562403492171</c:v>
                </c:pt>
                <c:pt idx="103">
                  <c:v>-906.81562403492171</c:v>
                </c:pt>
                <c:pt idx="104">
                  <c:v>-906.81562403492171</c:v>
                </c:pt>
                <c:pt idx="105">
                  <c:v>-971.92861543923232</c:v>
                </c:pt>
                <c:pt idx="106">
                  <c:v>-971.92861543923232</c:v>
                </c:pt>
                <c:pt idx="107">
                  <c:v>-971.92861543923232</c:v>
                </c:pt>
                <c:pt idx="108">
                  <c:v>-1039.4582859395948</c:v>
                </c:pt>
                <c:pt idx="109">
                  <c:v>-1039.4582859395948</c:v>
                </c:pt>
                <c:pt idx="110">
                  <c:v>-1039.4582859395948</c:v>
                </c:pt>
                <c:pt idx="111">
                  <c:v>-1041.4632683442262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D5-4C6D-815B-441A821032B2}"/>
            </c:ext>
          </c:extLst>
        </c:ser>
        <c:ser>
          <c:idx val="4"/>
          <c:order val="4"/>
          <c:tx>
            <c:v>Error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Path!$N$27:$N$150</c:f>
              <c:numCache>
                <c:formatCode>0.0</c:formatCod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Path!$AD$27:$AD$138</c:f>
              <c:numCache>
                <c:formatCode>0.0</c:formatCode>
                <c:ptCount val="112"/>
                <c:pt idx="0">
                  <c:v>0</c:v>
                </c:pt>
                <c:pt idx="1">
                  <c:v>1.7053025658242404E-13</c:v>
                </c:pt>
                <c:pt idx="2">
                  <c:v>1.7053025658242404E-13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-44.033473824424334</c:v>
                </c:pt>
                <c:pt idx="7">
                  <c:v>-44.033473824424334</c:v>
                </c:pt>
                <c:pt idx="8">
                  <c:v>-44.033473824424334</c:v>
                </c:pt>
                <c:pt idx="9">
                  <c:v>-3.6278355445176089</c:v>
                </c:pt>
                <c:pt idx="10">
                  <c:v>-3.6278355445176089</c:v>
                </c:pt>
                <c:pt idx="11">
                  <c:v>-3.6278355445176089</c:v>
                </c:pt>
                <c:pt idx="12">
                  <c:v>30.684106947265263</c:v>
                </c:pt>
                <c:pt idx="13">
                  <c:v>30.684106947265263</c:v>
                </c:pt>
                <c:pt idx="14">
                  <c:v>30.684106947265263</c:v>
                </c:pt>
                <c:pt idx="15">
                  <c:v>-2.8898449242342963</c:v>
                </c:pt>
                <c:pt idx="16">
                  <c:v>-2.8898449242342963</c:v>
                </c:pt>
                <c:pt idx="17">
                  <c:v>-2.8898449242342963</c:v>
                </c:pt>
                <c:pt idx="18">
                  <c:v>2.398786148205545E-5</c:v>
                </c:pt>
                <c:pt idx="19">
                  <c:v>2.398786148205545E-5</c:v>
                </c:pt>
                <c:pt idx="20">
                  <c:v>2.398786148205545E-5</c:v>
                </c:pt>
                <c:pt idx="21">
                  <c:v>57.985646686495045</c:v>
                </c:pt>
                <c:pt idx="22">
                  <c:v>57.985646686495045</c:v>
                </c:pt>
                <c:pt idx="23">
                  <c:v>57.985646686495045</c:v>
                </c:pt>
                <c:pt idx="24">
                  <c:v>53.532883368992771</c:v>
                </c:pt>
                <c:pt idx="25">
                  <c:v>53.532883368992771</c:v>
                </c:pt>
                <c:pt idx="26">
                  <c:v>53.532883368992771</c:v>
                </c:pt>
                <c:pt idx="27">
                  <c:v>6.7187811521307594E-4</c:v>
                </c:pt>
                <c:pt idx="28">
                  <c:v>6.7187811521307594E-4</c:v>
                </c:pt>
                <c:pt idx="29">
                  <c:v>6.7187811521307594E-4</c:v>
                </c:pt>
                <c:pt idx="30">
                  <c:v>85.049428774070293</c:v>
                </c:pt>
                <c:pt idx="31">
                  <c:v>85.049428774070293</c:v>
                </c:pt>
                <c:pt idx="32">
                  <c:v>85.049428774070293</c:v>
                </c:pt>
                <c:pt idx="33">
                  <c:v>150.01733084346404</c:v>
                </c:pt>
                <c:pt idx="34">
                  <c:v>150.01733084346404</c:v>
                </c:pt>
                <c:pt idx="35">
                  <c:v>150.01733084346404</c:v>
                </c:pt>
                <c:pt idx="36">
                  <c:v>72.964265063606945</c:v>
                </c:pt>
                <c:pt idx="37">
                  <c:v>72.964265063606945</c:v>
                </c:pt>
                <c:pt idx="38">
                  <c:v>72.964265063606945</c:v>
                </c:pt>
                <c:pt idx="39">
                  <c:v>-1.8982119793776064</c:v>
                </c:pt>
                <c:pt idx="40">
                  <c:v>-1.8982119793776064</c:v>
                </c:pt>
                <c:pt idx="41">
                  <c:v>-1.8982119793776064</c:v>
                </c:pt>
                <c:pt idx="42">
                  <c:v>5.4824566973366018E-5</c:v>
                </c:pt>
                <c:pt idx="43">
                  <c:v>5.4824566973366018E-5</c:v>
                </c:pt>
                <c:pt idx="44">
                  <c:v>5.4824566973366018E-5</c:v>
                </c:pt>
                <c:pt idx="45">
                  <c:v>87.988957595112311</c:v>
                </c:pt>
                <c:pt idx="46">
                  <c:v>87.988957595112311</c:v>
                </c:pt>
                <c:pt idx="47">
                  <c:v>87.988957595112311</c:v>
                </c:pt>
                <c:pt idx="48">
                  <c:v>73.685071841851595</c:v>
                </c:pt>
                <c:pt idx="49">
                  <c:v>73.685071841851595</c:v>
                </c:pt>
                <c:pt idx="50">
                  <c:v>73.685071841851595</c:v>
                </c:pt>
                <c:pt idx="51">
                  <c:v>-4.5073989463162434E-4</c:v>
                </c:pt>
                <c:pt idx="52">
                  <c:v>-4.5073989463162434E-4</c:v>
                </c:pt>
                <c:pt idx="53">
                  <c:v>-4.5073989463162434E-4</c:v>
                </c:pt>
                <c:pt idx="54">
                  <c:v>38.410733020681732</c:v>
                </c:pt>
                <c:pt idx="55">
                  <c:v>38.410733020681732</c:v>
                </c:pt>
                <c:pt idx="56">
                  <c:v>38.410733020681732</c:v>
                </c:pt>
                <c:pt idx="57">
                  <c:v>132.62891799998681</c:v>
                </c:pt>
                <c:pt idx="58">
                  <c:v>132.62891799998681</c:v>
                </c:pt>
                <c:pt idx="59">
                  <c:v>132.62891799998681</c:v>
                </c:pt>
                <c:pt idx="60">
                  <c:v>104.34092376609283</c:v>
                </c:pt>
                <c:pt idx="61">
                  <c:v>104.34092376609283</c:v>
                </c:pt>
                <c:pt idx="62">
                  <c:v>104.34092376609283</c:v>
                </c:pt>
                <c:pt idx="63">
                  <c:v>-0.51740496903596522</c:v>
                </c:pt>
                <c:pt idx="64">
                  <c:v>-0.51740496903596522</c:v>
                </c:pt>
                <c:pt idx="65">
                  <c:v>-0.51740496903596522</c:v>
                </c:pt>
                <c:pt idx="66">
                  <c:v>3.6444134821067564E-8</c:v>
                </c:pt>
                <c:pt idx="67">
                  <c:v>3.6444134821067564E-8</c:v>
                </c:pt>
                <c:pt idx="68">
                  <c:v>3.6444134821067564E-8</c:v>
                </c:pt>
                <c:pt idx="69">
                  <c:v>111.20380999942915</c:v>
                </c:pt>
                <c:pt idx="70">
                  <c:v>111.20380999942915</c:v>
                </c:pt>
                <c:pt idx="71">
                  <c:v>111.20380999942915</c:v>
                </c:pt>
                <c:pt idx="72">
                  <c:v>126.95692650246144</c:v>
                </c:pt>
                <c:pt idx="73">
                  <c:v>126.95692650246144</c:v>
                </c:pt>
                <c:pt idx="74">
                  <c:v>126.95692650246144</c:v>
                </c:pt>
                <c:pt idx="75">
                  <c:v>25.343015970693614</c:v>
                </c:pt>
                <c:pt idx="76">
                  <c:v>25.343015970693614</c:v>
                </c:pt>
                <c:pt idx="77">
                  <c:v>25.343015970693614</c:v>
                </c:pt>
                <c:pt idx="78">
                  <c:v>-5.1358445489313453E-5</c:v>
                </c:pt>
                <c:pt idx="79">
                  <c:v>-5.1358445489313453E-5</c:v>
                </c:pt>
                <c:pt idx="80">
                  <c:v>-5.1358445489313453E-5</c:v>
                </c:pt>
                <c:pt idx="81">
                  <c:v>164.28162792542412</c:v>
                </c:pt>
                <c:pt idx="82">
                  <c:v>164.28162792542412</c:v>
                </c:pt>
                <c:pt idx="83">
                  <c:v>164.28162792542412</c:v>
                </c:pt>
                <c:pt idx="84">
                  <c:v>230.45217920363666</c:v>
                </c:pt>
                <c:pt idx="85">
                  <c:v>230.45217920363666</c:v>
                </c:pt>
                <c:pt idx="86">
                  <c:v>230.45217920363666</c:v>
                </c:pt>
                <c:pt idx="87">
                  <c:v>88.605875854440001</c:v>
                </c:pt>
                <c:pt idx="88">
                  <c:v>88.605875854440001</c:v>
                </c:pt>
                <c:pt idx="89">
                  <c:v>88.605875854440001</c:v>
                </c:pt>
                <c:pt idx="90">
                  <c:v>-1.2043416313645139E-4</c:v>
                </c:pt>
                <c:pt idx="91">
                  <c:v>-1.2043416313645139E-4</c:v>
                </c:pt>
                <c:pt idx="92">
                  <c:v>-1.2043416313645139E-4</c:v>
                </c:pt>
                <c:pt idx="93">
                  <c:v>192.91020066531041</c:v>
                </c:pt>
                <c:pt idx="94">
                  <c:v>192.91020066531041</c:v>
                </c:pt>
                <c:pt idx="95">
                  <c:v>192.91020066531041</c:v>
                </c:pt>
                <c:pt idx="96">
                  <c:v>231.65711042567614</c:v>
                </c:pt>
                <c:pt idx="97">
                  <c:v>231.65711042567614</c:v>
                </c:pt>
                <c:pt idx="98">
                  <c:v>231.65711042567614</c:v>
                </c:pt>
                <c:pt idx="99">
                  <c:v>23.780036156699225</c:v>
                </c:pt>
                <c:pt idx="100">
                  <c:v>23.780036156699225</c:v>
                </c:pt>
                <c:pt idx="101">
                  <c:v>23.780036156699225</c:v>
                </c:pt>
                <c:pt idx="102">
                  <c:v>6.8212102632969618E-13</c:v>
                </c:pt>
                <c:pt idx="103">
                  <c:v>0</c:v>
                </c:pt>
                <c:pt idx="104">
                  <c:v>0</c:v>
                </c:pt>
                <c:pt idx="105">
                  <c:v>2.2737367544323206E-13</c:v>
                </c:pt>
                <c:pt idx="106">
                  <c:v>2.2737367544323206E-13</c:v>
                </c:pt>
                <c:pt idx="107">
                  <c:v>2.2737367544323206E-13</c:v>
                </c:pt>
                <c:pt idx="108">
                  <c:v>4.5474735088646412E-13</c:v>
                </c:pt>
                <c:pt idx="109">
                  <c:v>4.5474735088646412E-13</c:v>
                </c:pt>
                <c:pt idx="110">
                  <c:v>4.5474735088646412E-13</c:v>
                </c:pt>
                <c:pt idx="1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D5-4C6D-815B-441A821032B2}"/>
            </c:ext>
          </c:extLst>
        </c:ser>
        <c:ser>
          <c:idx val="10"/>
          <c:order val="5"/>
          <c:tx>
            <c:v>Conical (=)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Path!$N$27:$N$138</c:f>
              <c:numCache>
                <c:formatCode>0.0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Path!$V$27:$V$138</c:f>
              <c:numCache>
                <c:formatCode>0</c:formatCode>
                <c:ptCount val="112"/>
                <c:pt idx="0">
                  <c:v>201.4999999999994</c:v>
                </c:pt>
                <c:pt idx="1">
                  <c:v>201.49999999999932</c:v>
                </c:pt>
                <c:pt idx="2">
                  <c:v>201.49999999999932</c:v>
                </c:pt>
                <c:pt idx="3">
                  <c:v>201.49999999999932</c:v>
                </c:pt>
                <c:pt idx="4">
                  <c:v>201.49999999999932</c:v>
                </c:pt>
                <c:pt idx="5">
                  <c:v>201.49999999999932</c:v>
                </c:pt>
                <c:pt idx="6">
                  <c:v>234.09087198749069</c:v>
                </c:pt>
                <c:pt idx="7">
                  <c:v>234.09087198749069</c:v>
                </c:pt>
                <c:pt idx="8">
                  <c:v>234.09087198749069</c:v>
                </c:pt>
                <c:pt idx="9">
                  <c:v>237.30843622174876</c:v>
                </c:pt>
                <c:pt idx="10">
                  <c:v>237.30843622174876</c:v>
                </c:pt>
                <c:pt idx="11">
                  <c:v>237.30843622174876</c:v>
                </c:pt>
                <c:pt idx="12">
                  <c:v>241.77070733966329</c:v>
                </c:pt>
                <c:pt idx="13">
                  <c:v>241.77070733966329</c:v>
                </c:pt>
                <c:pt idx="14">
                  <c:v>241.77070733966329</c:v>
                </c:pt>
                <c:pt idx="15">
                  <c:v>244.53793196731442</c:v>
                </c:pt>
                <c:pt idx="16">
                  <c:v>244.53793196731442</c:v>
                </c:pt>
                <c:pt idx="17">
                  <c:v>244.53793196731442</c:v>
                </c:pt>
                <c:pt idx="18">
                  <c:v>246.5647761936695</c:v>
                </c:pt>
                <c:pt idx="19">
                  <c:v>246.5647761936695</c:v>
                </c:pt>
                <c:pt idx="20">
                  <c:v>246.5647761936695</c:v>
                </c:pt>
                <c:pt idx="21">
                  <c:v>249.99949959193279</c:v>
                </c:pt>
                <c:pt idx="22">
                  <c:v>249.99949959193279</c:v>
                </c:pt>
                <c:pt idx="23">
                  <c:v>249.99949959193279</c:v>
                </c:pt>
                <c:pt idx="24">
                  <c:v>255.01848083708094</c:v>
                </c:pt>
                <c:pt idx="25">
                  <c:v>255.01848083708094</c:v>
                </c:pt>
                <c:pt idx="26">
                  <c:v>255.01848083708094</c:v>
                </c:pt>
                <c:pt idx="27">
                  <c:v>258.68169209756758</c:v>
                </c:pt>
                <c:pt idx="28">
                  <c:v>258.68169209756758</c:v>
                </c:pt>
                <c:pt idx="29">
                  <c:v>258.68169209756758</c:v>
                </c:pt>
                <c:pt idx="30">
                  <c:v>336.30217230914036</c:v>
                </c:pt>
                <c:pt idx="31">
                  <c:v>336.30217230914036</c:v>
                </c:pt>
                <c:pt idx="32">
                  <c:v>336.30217230914036</c:v>
                </c:pt>
                <c:pt idx="33">
                  <c:v>341.44999315126756</c:v>
                </c:pt>
                <c:pt idx="34">
                  <c:v>341.44999315126756</c:v>
                </c:pt>
                <c:pt idx="35">
                  <c:v>341.44999315126756</c:v>
                </c:pt>
                <c:pt idx="36">
                  <c:v>349.89710515475406</c:v>
                </c:pt>
                <c:pt idx="37">
                  <c:v>349.89710515475406</c:v>
                </c:pt>
                <c:pt idx="38">
                  <c:v>349.89710515475406</c:v>
                </c:pt>
                <c:pt idx="39">
                  <c:v>356.62736472500774</c:v>
                </c:pt>
                <c:pt idx="40">
                  <c:v>356.62736472500774</c:v>
                </c:pt>
                <c:pt idx="41">
                  <c:v>356.62736472500774</c:v>
                </c:pt>
                <c:pt idx="42">
                  <c:v>359.08276765718506</c:v>
                </c:pt>
                <c:pt idx="43">
                  <c:v>359.08276765718506</c:v>
                </c:pt>
                <c:pt idx="44">
                  <c:v>359.08276765718506</c:v>
                </c:pt>
                <c:pt idx="45">
                  <c:v>364.31249860484598</c:v>
                </c:pt>
                <c:pt idx="46">
                  <c:v>364.31249860484598</c:v>
                </c:pt>
                <c:pt idx="47">
                  <c:v>364.31249860484598</c:v>
                </c:pt>
                <c:pt idx="48">
                  <c:v>372.24738828216971</c:v>
                </c:pt>
                <c:pt idx="49">
                  <c:v>372.24738828216971</c:v>
                </c:pt>
                <c:pt idx="50">
                  <c:v>372.24738828216971</c:v>
                </c:pt>
                <c:pt idx="51">
                  <c:v>378.22894615146993</c:v>
                </c:pt>
                <c:pt idx="52">
                  <c:v>378.22894615146993</c:v>
                </c:pt>
                <c:pt idx="53">
                  <c:v>378.22894615146993</c:v>
                </c:pt>
                <c:pt idx="54">
                  <c:v>457.68800245818915</c:v>
                </c:pt>
                <c:pt idx="55">
                  <c:v>457.68800245818915</c:v>
                </c:pt>
                <c:pt idx="56">
                  <c:v>457.68800245818915</c:v>
                </c:pt>
                <c:pt idx="57">
                  <c:v>465.92750021244211</c:v>
                </c:pt>
                <c:pt idx="58">
                  <c:v>465.92750021244211</c:v>
                </c:pt>
                <c:pt idx="59">
                  <c:v>465.92750021244211</c:v>
                </c:pt>
                <c:pt idx="60">
                  <c:v>478.12423581107947</c:v>
                </c:pt>
                <c:pt idx="61">
                  <c:v>478.12423581107947</c:v>
                </c:pt>
                <c:pt idx="62">
                  <c:v>478.12423581107947</c:v>
                </c:pt>
                <c:pt idx="63">
                  <c:v>487.13283448137707</c:v>
                </c:pt>
                <c:pt idx="64">
                  <c:v>487.13283448137707</c:v>
                </c:pt>
                <c:pt idx="65">
                  <c:v>487.13283448137707</c:v>
                </c:pt>
                <c:pt idx="66">
                  <c:v>489.99180482172852</c:v>
                </c:pt>
                <c:pt idx="67">
                  <c:v>489.99180482172852</c:v>
                </c:pt>
                <c:pt idx="68">
                  <c:v>489.99180482172852</c:v>
                </c:pt>
                <c:pt idx="69">
                  <c:v>499.47081955390098</c:v>
                </c:pt>
                <c:pt idx="70">
                  <c:v>499.47081955390098</c:v>
                </c:pt>
                <c:pt idx="71">
                  <c:v>499.47081955390098</c:v>
                </c:pt>
                <c:pt idx="72">
                  <c:v>512.94927213824383</c:v>
                </c:pt>
                <c:pt idx="73">
                  <c:v>512.94927213824383</c:v>
                </c:pt>
                <c:pt idx="74">
                  <c:v>512.94927213824383</c:v>
                </c:pt>
                <c:pt idx="75">
                  <c:v>522.52946318865622</c:v>
                </c:pt>
                <c:pt idx="76">
                  <c:v>522.52946318865622</c:v>
                </c:pt>
                <c:pt idx="77">
                  <c:v>522.52946318865622</c:v>
                </c:pt>
                <c:pt idx="78">
                  <c:v>649.54407809316115</c:v>
                </c:pt>
                <c:pt idx="79">
                  <c:v>649.54407809316115</c:v>
                </c:pt>
                <c:pt idx="80">
                  <c:v>649.54407809316115</c:v>
                </c:pt>
                <c:pt idx="81">
                  <c:v>665.64474021838885</c:v>
                </c:pt>
                <c:pt idx="82">
                  <c:v>665.64474021838885</c:v>
                </c:pt>
                <c:pt idx="83">
                  <c:v>665.64474021838885</c:v>
                </c:pt>
                <c:pt idx="84">
                  <c:v>687.8762876326997</c:v>
                </c:pt>
                <c:pt idx="85">
                  <c:v>687.8762876326997</c:v>
                </c:pt>
                <c:pt idx="86">
                  <c:v>687.8762876326997</c:v>
                </c:pt>
                <c:pt idx="87">
                  <c:v>703.16606019512301</c:v>
                </c:pt>
                <c:pt idx="88">
                  <c:v>703.16606019512301</c:v>
                </c:pt>
                <c:pt idx="89">
                  <c:v>703.16606019512301</c:v>
                </c:pt>
                <c:pt idx="90">
                  <c:v>809.9238678369876</c:v>
                </c:pt>
                <c:pt idx="91">
                  <c:v>809.9238678369876</c:v>
                </c:pt>
                <c:pt idx="92">
                  <c:v>809.9238678369876</c:v>
                </c:pt>
                <c:pt idx="93">
                  <c:v>833.20134084324513</c:v>
                </c:pt>
                <c:pt idx="94">
                  <c:v>833.20134084324513</c:v>
                </c:pt>
                <c:pt idx="95">
                  <c:v>833.20134084324513</c:v>
                </c:pt>
                <c:pt idx="96">
                  <c:v>865.76079032564655</c:v>
                </c:pt>
                <c:pt idx="97">
                  <c:v>865.76079032564655</c:v>
                </c:pt>
                <c:pt idx="98">
                  <c:v>865.76079032564655</c:v>
                </c:pt>
                <c:pt idx="99">
                  <c:v>888.48034088134455</c:v>
                </c:pt>
                <c:pt idx="100">
                  <c:v>888.48034088134455</c:v>
                </c:pt>
                <c:pt idx="101">
                  <c:v>888.48034088134455</c:v>
                </c:pt>
                <c:pt idx="102">
                  <c:v>906.14968233324669</c:v>
                </c:pt>
                <c:pt idx="103">
                  <c:v>906.81562403492171</c:v>
                </c:pt>
                <c:pt idx="104">
                  <c:v>906.81562403492171</c:v>
                </c:pt>
                <c:pt idx="105">
                  <c:v>971.92861543923232</c:v>
                </c:pt>
                <c:pt idx="106">
                  <c:v>971.92861543923232</c:v>
                </c:pt>
                <c:pt idx="107">
                  <c:v>971.92861543923232</c:v>
                </c:pt>
                <c:pt idx="108">
                  <c:v>1039.4582859395948</c:v>
                </c:pt>
                <c:pt idx="109">
                  <c:v>1039.4582859395948</c:v>
                </c:pt>
                <c:pt idx="110">
                  <c:v>1039.4582859395948</c:v>
                </c:pt>
                <c:pt idx="111">
                  <c:v>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09-448D-9715-351434B74D85}"/>
            </c:ext>
          </c:extLst>
        </c:ser>
        <c:ser>
          <c:idx val="11"/>
          <c:order val="6"/>
          <c:tx>
            <c:v>Conical (-)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Path!$N$27:$N$138</c:f>
              <c:numCache>
                <c:formatCode>0.0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Path!$W$27:$W$138</c:f>
              <c:numCache>
                <c:formatCode>0</c:formatCode>
                <c:ptCount val="112"/>
                <c:pt idx="0">
                  <c:v>-201.4999999999994</c:v>
                </c:pt>
                <c:pt idx="1">
                  <c:v>-201.49999999999932</c:v>
                </c:pt>
                <c:pt idx="2">
                  <c:v>-201.49999999999932</c:v>
                </c:pt>
                <c:pt idx="3">
                  <c:v>-201.49999999999932</c:v>
                </c:pt>
                <c:pt idx="4">
                  <c:v>-201.49999999999932</c:v>
                </c:pt>
                <c:pt idx="5">
                  <c:v>-201.49999999999932</c:v>
                </c:pt>
                <c:pt idx="6">
                  <c:v>-234.09087198749069</c:v>
                </c:pt>
                <c:pt idx="7">
                  <c:v>-234.09087198749069</c:v>
                </c:pt>
                <c:pt idx="8">
                  <c:v>-234.09087198749069</c:v>
                </c:pt>
                <c:pt idx="9">
                  <c:v>-237.30843622174876</c:v>
                </c:pt>
                <c:pt idx="10">
                  <c:v>-237.30843622174876</c:v>
                </c:pt>
                <c:pt idx="11">
                  <c:v>-237.30843622174876</c:v>
                </c:pt>
                <c:pt idx="12">
                  <c:v>-241.77070733966329</c:v>
                </c:pt>
                <c:pt idx="13">
                  <c:v>-241.77070733966329</c:v>
                </c:pt>
                <c:pt idx="14">
                  <c:v>-241.77070733966329</c:v>
                </c:pt>
                <c:pt idx="15">
                  <c:v>-244.53793196731442</c:v>
                </c:pt>
                <c:pt idx="16">
                  <c:v>-244.53793196731442</c:v>
                </c:pt>
                <c:pt idx="17">
                  <c:v>-244.53793196731442</c:v>
                </c:pt>
                <c:pt idx="18">
                  <c:v>-246.5647761936695</c:v>
                </c:pt>
                <c:pt idx="19">
                  <c:v>-246.5647761936695</c:v>
                </c:pt>
                <c:pt idx="20">
                  <c:v>-246.5647761936695</c:v>
                </c:pt>
                <c:pt idx="21">
                  <c:v>-249.99949959193279</c:v>
                </c:pt>
                <c:pt idx="22">
                  <c:v>-249.99949959193279</c:v>
                </c:pt>
                <c:pt idx="23">
                  <c:v>-249.99949959193279</c:v>
                </c:pt>
                <c:pt idx="24">
                  <c:v>-255.01848083708094</c:v>
                </c:pt>
                <c:pt idx="25">
                  <c:v>-255.01848083708094</c:v>
                </c:pt>
                <c:pt idx="26">
                  <c:v>-255.01848083708094</c:v>
                </c:pt>
                <c:pt idx="27">
                  <c:v>-258.68169209756758</c:v>
                </c:pt>
                <c:pt idx="28">
                  <c:v>-258.68169209756758</c:v>
                </c:pt>
                <c:pt idx="29">
                  <c:v>-258.68169209756758</c:v>
                </c:pt>
                <c:pt idx="30">
                  <c:v>-336.30217230914036</c:v>
                </c:pt>
                <c:pt idx="31">
                  <c:v>-336.30217230914036</c:v>
                </c:pt>
                <c:pt idx="32">
                  <c:v>-336.30217230914036</c:v>
                </c:pt>
                <c:pt idx="33">
                  <c:v>-341.44999315126756</c:v>
                </c:pt>
                <c:pt idx="34">
                  <c:v>-341.44999315126756</c:v>
                </c:pt>
                <c:pt idx="35">
                  <c:v>-341.44999315126756</c:v>
                </c:pt>
                <c:pt idx="36">
                  <c:v>-349.89710515475406</c:v>
                </c:pt>
                <c:pt idx="37">
                  <c:v>-349.89710515475406</c:v>
                </c:pt>
                <c:pt idx="38">
                  <c:v>-349.89710515475406</c:v>
                </c:pt>
                <c:pt idx="39">
                  <c:v>-356.62736472500774</c:v>
                </c:pt>
                <c:pt idx="40">
                  <c:v>-356.62736472500774</c:v>
                </c:pt>
                <c:pt idx="41">
                  <c:v>-356.62736472500774</c:v>
                </c:pt>
                <c:pt idx="42">
                  <c:v>-359.08276765718506</c:v>
                </c:pt>
                <c:pt idx="43">
                  <c:v>-359.08276765718506</c:v>
                </c:pt>
                <c:pt idx="44">
                  <c:v>-359.08276765718506</c:v>
                </c:pt>
                <c:pt idx="45">
                  <c:v>-364.31249860484598</c:v>
                </c:pt>
                <c:pt idx="46">
                  <c:v>-364.31249860484598</c:v>
                </c:pt>
                <c:pt idx="47">
                  <c:v>-364.31249860484598</c:v>
                </c:pt>
                <c:pt idx="48">
                  <c:v>-372.24738828216971</c:v>
                </c:pt>
                <c:pt idx="49">
                  <c:v>-372.24738828216971</c:v>
                </c:pt>
                <c:pt idx="50">
                  <c:v>-372.24738828216971</c:v>
                </c:pt>
                <c:pt idx="51">
                  <c:v>-378.22894615146993</c:v>
                </c:pt>
                <c:pt idx="52">
                  <c:v>-378.22894615146993</c:v>
                </c:pt>
                <c:pt idx="53">
                  <c:v>-378.22894615146993</c:v>
                </c:pt>
                <c:pt idx="54">
                  <c:v>-457.68800245818915</c:v>
                </c:pt>
                <c:pt idx="55">
                  <c:v>-457.68800245818915</c:v>
                </c:pt>
                <c:pt idx="56">
                  <c:v>-457.68800245818915</c:v>
                </c:pt>
                <c:pt idx="57">
                  <c:v>-465.92750021244211</c:v>
                </c:pt>
                <c:pt idx="58">
                  <c:v>-465.92750021244211</c:v>
                </c:pt>
                <c:pt idx="59">
                  <c:v>-465.92750021244211</c:v>
                </c:pt>
                <c:pt idx="60">
                  <c:v>-478.12423581107947</c:v>
                </c:pt>
                <c:pt idx="61">
                  <c:v>-478.12423581107947</c:v>
                </c:pt>
                <c:pt idx="62">
                  <c:v>-478.12423581107947</c:v>
                </c:pt>
                <c:pt idx="63">
                  <c:v>-487.13283448137707</c:v>
                </c:pt>
                <c:pt idx="64">
                  <c:v>-487.13283448137707</c:v>
                </c:pt>
                <c:pt idx="65">
                  <c:v>-487.13283448137707</c:v>
                </c:pt>
                <c:pt idx="66">
                  <c:v>-489.99180482172852</c:v>
                </c:pt>
                <c:pt idx="67">
                  <c:v>-489.99180482172852</c:v>
                </c:pt>
                <c:pt idx="68">
                  <c:v>-489.99180482172852</c:v>
                </c:pt>
                <c:pt idx="69">
                  <c:v>-499.47081955390098</c:v>
                </c:pt>
                <c:pt idx="70">
                  <c:v>-499.47081955390098</c:v>
                </c:pt>
                <c:pt idx="71">
                  <c:v>-499.47081955390098</c:v>
                </c:pt>
                <c:pt idx="72">
                  <c:v>-512.94927213824383</c:v>
                </c:pt>
                <c:pt idx="73">
                  <c:v>-512.94927213824383</c:v>
                </c:pt>
                <c:pt idx="74">
                  <c:v>-512.94927213824383</c:v>
                </c:pt>
                <c:pt idx="75">
                  <c:v>-522.52946318865622</c:v>
                </c:pt>
                <c:pt idx="76">
                  <c:v>-522.52946318865622</c:v>
                </c:pt>
                <c:pt idx="77">
                  <c:v>-522.52946318865622</c:v>
                </c:pt>
                <c:pt idx="78">
                  <c:v>-649.54407809316115</c:v>
                </c:pt>
                <c:pt idx="79">
                  <c:v>-649.54407809316115</c:v>
                </c:pt>
                <c:pt idx="80">
                  <c:v>-649.54407809316115</c:v>
                </c:pt>
                <c:pt idx="81">
                  <c:v>-665.64474021838885</c:v>
                </c:pt>
                <c:pt idx="82">
                  <c:v>-665.64474021838885</c:v>
                </c:pt>
                <c:pt idx="83">
                  <c:v>-665.64474021838885</c:v>
                </c:pt>
                <c:pt idx="84">
                  <c:v>-687.8762876326997</c:v>
                </c:pt>
                <c:pt idx="85">
                  <c:v>-687.8762876326997</c:v>
                </c:pt>
                <c:pt idx="86">
                  <c:v>-687.8762876326997</c:v>
                </c:pt>
                <c:pt idx="87">
                  <c:v>-703.16606019512301</c:v>
                </c:pt>
                <c:pt idx="88">
                  <c:v>-703.16606019512301</c:v>
                </c:pt>
                <c:pt idx="89">
                  <c:v>-703.16606019512301</c:v>
                </c:pt>
                <c:pt idx="90">
                  <c:v>-809.9238678369876</c:v>
                </c:pt>
                <c:pt idx="91">
                  <c:v>-809.9238678369876</c:v>
                </c:pt>
                <c:pt idx="92">
                  <c:v>-809.9238678369876</c:v>
                </c:pt>
                <c:pt idx="93">
                  <c:v>-833.20134084324513</c:v>
                </c:pt>
                <c:pt idx="94">
                  <c:v>-833.20134084324513</c:v>
                </c:pt>
                <c:pt idx="95">
                  <c:v>-833.20134084324513</c:v>
                </c:pt>
                <c:pt idx="96">
                  <c:v>-865.76079032564655</c:v>
                </c:pt>
                <c:pt idx="97">
                  <c:v>-865.76079032564655</c:v>
                </c:pt>
                <c:pt idx="98">
                  <c:v>-865.76079032564655</c:v>
                </c:pt>
                <c:pt idx="99">
                  <c:v>-888.48034088134455</c:v>
                </c:pt>
                <c:pt idx="100">
                  <c:v>-888.48034088134455</c:v>
                </c:pt>
                <c:pt idx="101">
                  <c:v>-888.48034088134455</c:v>
                </c:pt>
                <c:pt idx="102">
                  <c:v>-906.14968233324669</c:v>
                </c:pt>
                <c:pt idx="103">
                  <c:v>-906.81562403492171</c:v>
                </c:pt>
                <c:pt idx="104">
                  <c:v>-906.81562403492171</c:v>
                </c:pt>
                <c:pt idx="105">
                  <c:v>-971.92861543923232</c:v>
                </c:pt>
                <c:pt idx="106">
                  <c:v>-971.92861543923232</c:v>
                </c:pt>
                <c:pt idx="107">
                  <c:v>-971.92861543923232</c:v>
                </c:pt>
                <c:pt idx="108">
                  <c:v>-1039.4582859395948</c:v>
                </c:pt>
                <c:pt idx="109">
                  <c:v>-1039.4582859395948</c:v>
                </c:pt>
                <c:pt idx="110">
                  <c:v>-1039.4582859395948</c:v>
                </c:pt>
                <c:pt idx="111">
                  <c:v>-1041.4632683442262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09-448D-9715-351434B74D85}"/>
            </c:ext>
          </c:extLst>
        </c:ser>
        <c:ser>
          <c:idx val="12"/>
          <c:order val="7"/>
          <c:tx>
            <c:v>Exponential (+)</c:v>
          </c:tx>
          <c:spPr>
            <a:ln w="12700">
              <a:solidFill>
                <a:srgbClr val="0033CC"/>
              </a:solidFill>
              <a:prstDash val="dash"/>
            </a:ln>
          </c:spPr>
          <c:marker>
            <c:symbol val="none"/>
          </c:marker>
          <c:xVal>
            <c:numRef>
              <c:f>Path!$N$27:$N$138</c:f>
              <c:numCache>
                <c:formatCode>0.0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Path!$Y$27:$Y$138</c:f>
              <c:numCache>
                <c:formatCode>0</c:formatCode>
                <c:ptCount val="112"/>
                <c:pt idx="0">
                  <c:v>201.4999999999994</c:v>
                </c:pt>
                <c:pt idx="1">
                  <c:v>201.49999999999932</c:v>
                </c:pt>
                <c:pt idx="2">
                  <c:v>201.49999999999932</c:v>
                </c:pt>
                <c:pt idx="3">
                  <c:v>201.49999999999932</c:v>
                </c:pt>
                <c:pt idx="4">
                  <c:v>201.49999999999932</c:v>
                </c:pt>
                <c:pt idx="5">
                  <c:v>201.49999999999932</c:v>
                </c:pt>
                <c:pt idx="6">
                  <c:v>223.69231847450914</c:v>
                </c:pt>
                <c:pt idx="7">
                  <c:v>223.69231847450914</c:v>
                </c:pt>
                <c:pt idx="8">
                  <c:v>223.69231847450914</c:v>
                </c:pt>
                <c:pt idx="9">
                  <c:v>225.91983397774314</c:v>
                </c:pt>
                <c:pt idx="10">
                  <c:v>225.91983397774314</c:v>
                </c:pt>
                <c:pt idx="11">
                  <c:v>225.91983397774314</c:v>
                </c:pt>
                <c:pt idx="12">
                  <c:v>229.02050518518416</c:v>
                </c:pt>
                <c:pt idx="13">
                  <c:v>229.02050518518416</c:v>
                </c:pt>
                <c:pt idx="14">
                  <c:v>229.02050518518416</c:v>
                </c:pt>
                <c:pt idx="15">
                  <c:v>230.95011137746664</c:v>
                </c:pt>
                <c:pt idx="16">
                  <c:v>230.95011137746664</c:v>
                </c:pt>
                <c:pt idx="17">
                  <c:v>230.95011137746664</c:v>
                </c:pt>
                <c:pt idx="18">
                  <c:v>232.36676233380376</c:v>
                </c:pt>
                <c:pt idx="19">
                  <c:v>232.36676233380376</c:v>
                </c:pt>
                <c:pt idx="20">
                  <c:v>232.36676233380376</c:v>
                </c:pt>
                <c:pt idx="21">
                  <c:v>234.77390274448757</c:v>
                </c:pt>
                <c:pt idx="22">
                  <c:v>234.77390274448757</c:v>
                </c:pt>
                <c:pt idx="23">
                  <c:v>234.77390274448757</c:v>
                </c:pt>
                <c:pt idx="24">
                  <c:v>238.30610040111861</c:v>
                </c:pt>
                <c:pt idx="25">
                  <c:v>238.30610040111861</c:v>
                </c:pt>
                <c:pt idx="26">
                  <c:v>238.30610040111861</c:v>
                </c:pt>
                <c:pt idx="27">
                  <c:v>240.89535487280841</c:v>
                </c:pt>
                <c:pt idx="28">
                  <c:v>240.89535487280841</c:v>
                </c:pt>
                <c:pt idx="29">
                  <c:v>240.89535487280841</c:v>
                </c:pt>
                <c:pt idx="30">
                  <c:v>298.14676983386192</c:v>
                </c:pt>
                <c:pt idx="31">
                  <c:v>298.14676983386192</c:v>
                </c:pt>
                <c:pt idx="32">
                  <c:v>298.14676983386192</c:v>
                </c:pt>
                <c:pt idx="33">
                  <c:v>302.11481205094532</c:v>
                </c:pt>
                <c:pt idx="34">
                  <c:v>302.11481205094532</c:v>
                </c:pt>
                <c:pt idx="35">
                  <c:v>302.11481205094532</c:v>
                </c:pt>
                <c:pt idx="36">
                  <c:v>308.67466487158885</c:v>
                </c:pt>
                <c:pt idx="37">
                  <c:v>308.67466487158885</c:v>
                </c:pt>
                <c:pt idx="38">
                  <c:v>308.67466487158885</c:v>
                </c:pt>
                <c:pt idx="39">
                  <c:v>313.94497953765676</c:v>
                </c:pt>
                <c:pt idx="40">
                  <c:v>313.94497953765676</c:v>
                </c:pt>
                <c:pt idx="41">
                  <c:v>313.94497953765676</c:v>
                </c:pt>
                <c:pt idx="42">
                  <c:v>315.87749322711676</c:v>
                </c:pt>
                <c:pt idx="43">
                  <c:v>315.87749322711676</c:v>
                </c:pt>
                <c:pt idx="44">
                  <c:v>315.87749322711676</c:v>
                </c:pt>
                <c:pt idx="45">
                  <c:v>320.01101447575962</c:v>
                </c:pt>
                <c:pt idx="46">
                  <c:v>320.01101447575962</c:v>
                </c:pt>
                <c:pt idx="47">
                  <c:v>320.01101447575962</c:v>
                </c:pt>
                <c:pt idx="48">
                  <c:v>326.3284522036638</c:v>
                </c:pt>
                <c:pt idx="49">
                  <c:v>326.3284522036638</c:v>
                </c:pt>
                <c:pt idx="50">
                  <c:v>326.3284522036638</c:v>
                </c:pt>
                <c:pt idx="51">
                  <c:v>331.12754555259437</c:v>
                </c:pt>
                <c:pt idx="52">
                  <c:v>331.12754555259437</c:v>
                </c:pt>
                <c:pt idx="53">
                  <c:v>331.12754555259437</c:v>
                </c:pt>
                <c:pt idx="54">
                  <c:v>398.0065815981755</c:v>
                </c:pt>
                <c:pt idx="55">
                  <c:v>398.0065815981755</c:v>
                </c:pt>
                <c:pt idx="56">
                  <c:v>398.0065815981755</c:v>
                </c:pt>
                <c:pt idx="57">
                  <c:v>405.28727883082064</c:v>
                </c:pt>
                <c:pt idx="58">
                  <c:v>405.28727883082064</c:v>
                </c:pt>
                <c:pt idx="59">
                  <c:v>405.28727883082064</c:v>
                </c:pt>
                <c:pt idx="60">
                  <c:v>416.1884962689611</c:v>
                </c:pt>
                <c:pt idx="61">
                  <c:v>416.1884962689611</c:v>
                </c:pt>
                <c:pt idx="62">
                  <c:v>416.1884962689611</c:v>
                </c:pt>
                <c:pt idx="63">
                  <c:v>424.33606894905716</c:v>
                </c:pt>
                <c:pt idx="64">
                  <c:v>424.33606894905716</c:v>
                </c:pt>
                <c:pt idx="65">
                  <c:v>424.33606894905716</c:v>
                </c:pt>
                <c:pt idx="66">
                  <c:v>426.93895185870213</c:v>
                </c:pt>
                <c:pt idx="67">
                  <c:v>426.93895185870213</c:v>
                </c:pt>
                <c:pt idx="68">
                  <c:v>426.93895185870213</c:v>
                </c:pt>
                <c:pt idx="69">
                  <c:v>435.62851267526793</c:v>
                </c:pt>
                <c:pt idx="70">
                  <c:v>435.62851267526793</c:v>
                </c:pt>
                <c:pt idx="71">
                  <c:v>435.62851267526793</c:v>
                </c:pt>
                <c:pt idx="72">
                  <c:v>448.14353041790594</c:v>
                </c:pt>
                <c:pt idx="73">
                  <c:v>448.14353041790594</c:v>
                </c:pt>
                <c:pt idx="74">
                  <c:v>448.14353041790594</c:v>
                </c:pt>
                <c:pt idx="75">
                  <c:v>457.15376441008738</c:v>
                </c:pt>
                <c:pt idx="76">
                  <c:v>457.15376441008738</c:v>
                </c:pt>
                <c:pt idx="77">
                  <c:v>457.15376441008738</c:v>
                </c:pt>
                <c:pt idx="78">
                  <c:v>586.07402056313003</c:v>
                </c:pt>
                <c:pt idx="79">
                  <c:v>586.07402056313003</c:v>
                </c:pt>
                <c:pt idx="80">
                  <c:v>586.07402056313003</c:v>
                </c:pt>
                <c:pt idx="81">
                  <c:v>603.73249720364936</c:v>
                </c:pt>
                <c:pt idx="82">
                  <c:v>603.73249720364936</c:v>
                </c:pt>
                <c:pt idx="83">
                  <c:v>603.73249720364936</c:v>
                </c:pt>
                <c:pt idx="84">
                  <c:v>628.62569425280412</c:v>
                </c:pt>
                <c:pt idx="85">
                  <c:v>628.62569425280412</c:v>
                </c:pt>
                <c:pt idx="86">
                  <c:v>628.62569425280412</c:v>
                </c:pt>
                <c:pt idx="87">
                  <c:v>646.09502329574661</c:v>
                </c:pt>
                <c:pt idx="88">
                  <c:v>646.09502329574661</c:v>
                </c:pt>
                <c:pt idx="89">
                  <c:v>646.09502329574661</c:v>
                </c:pt>
                <c:pt idx="90">
                  <c:v>776.32105710298208</c:v>
                </c:pt>
                <c:pt idx="91">
                  <c:v>776.32105710298208</c:v>
                </c:pt>
                <c:pt idx="92">
                  <c:v>776.32105710298208</c:v>
                </c:pt>
                <c:pt idx="93">
                  <c:v>806.70877659644827</c:v>
                </c:pt>
                <c:pt idx="94">
                  <c:v>806.70877659644827</c:v>
                </c:pt>
                <c:pt idx="95">
                  <c:v>806.70877659644827</c:v>
                </c:pt>
                <c:pt idx="96">
                  <c:v>850.46328003634119</c:v>
                </c:pt>
                <c:pt idx="97">
                  <c:v>850.46328003634119</c:v>
                </c:pt>
                <c:pt idx="98">
                  <c:v>850.46328003634119</c:v>
                </c:pt>
                <c:pt idx="99">
                  <c:v>881.87562907300537</c:v>
                </c:pt>
                <c:pt idx="100">
                  <c:v>881.87562907300537</c:v>
                </c:pt>
                <c:pt idx="101">
                  <c:v>881.87562907300537</c:v>
                </c:pt>
                <c:pt idx="102">
                  <c:v>906.81562403492137</c:v>
                </c:pt>
                <c:pt idx="103">
                  <c:v>906.81562403492171</c:v>
                </c:pt>
                <c:pt idx="104">
                  <c:v>906.81562403492171</c:v>
                </c:pt>
                <c:pt idx="105">
                  <c:v>971.92861543923232</c:v>
                </c:pt>
                <c:pt idx="106">
                  <c:v>971.92861543923232</c:v>
                </c:pt>
                <c:pt idx="107">
                  <c:v>971.92861543923232</c:v>
                </c:pt>
                <c:pt idx="108">
                  <c:v>1039.4582859395948</c:v>
                </c:pt>
                <c:pt idx="109">
                  <c:v>1039.4582859395948</c:v>
                </c:pt>
                <c:pt idx="110">
                  <c:v>1039.4582859395948</c:v>
                </c:pt>
                <c:pt idx="111">
                  <c:v>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909-448D-9715-351434B74D85}"/>
            </c:ext>
          </c:extLst>
        </c:ser>
        <c:ser>
          <c:idx val="13"/>
          <c:order val="8"/>
          <c:tx>
            <c:v>Exponential (-)</c:v>
          </c:tx>
          <c:spPr>
            <a:ln w="12700">
              <a:solidFill>
                <a:srgbClr val="0033CC"/>
              </a:solidFill>
              <a:prstDash val="dash"/>
            </a:ln>
          </c:spPr>
          <c:marker>
            <c:symbol val="none"/>
          </c:marker>
          <c:xVal>
            <c:numRef>
              <c:f>Path!$N$27:$N$138</c:f>
              <c:numCache>
                <c:formatCode>0.0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Path!$Z$27:$Z$138</c:f>
              <c:numCache>
                <c:formatCode>0</c:formatCode>
                <c:ptCount val="112"/>
                <c:pt idx="0">
                  <c:v>-201.4999999999994</c:v>
                </c:pt>
                <c:pt idx="1">
                  <c:v>-201.49999999999932</c:v>
                </c:pt>
                <c:pt idx="2">
                  <c:v>-201.49999999999932</c:v>
                </c:pt>
                <c:pt idx="3">
                  <c:v>-201.49999999999932</c:v>
                </c:pt>
                <c:pt idx="4">
                  <c:v>-201.49999999999932</c:v>
                </c:pt>
                <c:pt idx="5">
                  <c:v>-201.49999999999932</c:v>
                </c:pt>
                <c:pt idx="6">
                  <c:v>-223.69231847450914</c:v>
                </c:pt>
                <c:pt idx="7">
                  <c:v>-223.69231847450914</c:v>
                </c:pt>
                <c:pt idx="8">
                  <c:v>-223.69231847450914</c:v>
                </c:pt>
                <c:pt idx="9">
                  <c:v>-225.91983397774314</c:v>
                </c:pt>
                <c:pt idx="10">
                  <c:v>-225.91983397774314</c:v>
                </c:pt>
                <c:pt idx="11">
                  <c:v>-225.91983397774314</c:v>
                </c:pt>
                <c:pt idx="12">
                  <c:v>-229.02050518518416</c:v>
                </c:pt>
                <c:pt idx="13">
                  <c:v>-229.02050518518416</c:v>
                </c:pt>
                <c:pt idx="14">
                  <c:v>-229.02050518518416</c:v>
                </c:pt>
                <c:pt idx="15">
                  <c:v>-230.95011137746664</c:v>
                </c:pt>
                <c:pt idx="16">
                  <c:v>-230.95011137746664</c:v>
                </c:pt>
                <c:pt idx="17">
                  <c:v>-230.95011137746664</c:v>
                </c:pt>
                <c:pt idx="18">
                  <c:v>-232.36676233380376</c:v>
                </c:pt>
                <c:pt idx="19">
                  <c:v>-232.36676233380376</c:v>
                </c:pt>
                <c:pt idx="20">
                  <c:v>-232.36676233380376</c:v>
                </c:pt>
                <c:pt idx="21">
                  <c:v>-234.77390274448757</c:v>
                </c:pt>
                <c:pt idx="22">
                  <c:v>-234.77390274448757</c:v>
                </c:pt>
                <c:pt idx="23">
                  <c:v>-234.77390274448757</c:v>
                </c:pt>
                <c:pt idx="24">
                  <c:v>-238.30610040111861</c:v>
                </c:pt>
                <c:pt idx="25">
                  <c:v>-238.30610040111861</c:v>
                </c:pt>
                <c:pt idx="26">
                  <c:v>-238.30610040111861</c:v>
                </c:pt>
                <c:pt idx="27">
                  <c:v>-240.89535487280841</c:v>
                </c:pt>
                <c:pt idx="28">
                  <c:v>-240.89535487280841</c:v>
                </c:pt>
                <c:pt idx="29">
                  <c:v>-240.89535487280841</c:v>
                </c:pt>
                <c:pt idx="30">
                  <c:v>-298.14676983386192</c:v>
                </c:pt>
                <c:pt idx="31">
                  <c:v>-298.14676983386192</c:v>
                </c:pt>
                <c:pt idx="32">
                  <c:v>-298.14676983386192</c:v>
                </c:pt>
                <c:pt idx="33">
                  <c:v>-302.11481205094532</c:v>
                </c:pt>
                <c:pt idx="34">
                  <c:v>-302.11481205094532</c:v>
                </c:pt>
                <c:pt idx="35">
                  <c:v>-302.11481205094532</c:v>
                </c:pt>
                <c:pt idx="36">
                  <c:v>-308.67466487158885</c:v>
                </c:pt>
                <c:pt idx="37">
                  <c:v>-308.67466487158885</c:v>
                </c:pt>
                <c:pt idx="38">
                  <c:v>-308.67466487158885</c:v>
                </c:pt>
                <c:pt idx="39">
                  <c:v>-313.94497953765676</c:v>
                </c:pt>
                <c:pt idx="40">
                  <c:v>-313.94497953765676</c:v>
                </c:pt>
                <c:pt idx="41">
                  <c:v>-313.94497953765676</c:v>
                </c:pt>
                <c:pt idx="42">
                  <c:v>-315.87749322711676</c:v>
                </c:pt>
                <c:pt idx="43">
                  <c:v>-315.87749322711676</c:v>
                </c:pt>
                <c:pt idx="44">
                  <c:v>-315.87749322711676</c:v>
                </c:pt>
                <c:pt idx="45">
                  <c:v>-320.01101447575962</c:v>
                </c:pt>
                <c:pt idx="46">
                  <c:v>-320.01101447575962</c:v>
                </c:pt>
                <c:pt idx="47">
                  <c:v>-320.01101447575962</c:v>
                </c:pt>
                <c:pt idx="48">
                  <c:v>-326.3284522036638</c:v>
                </c:pt>
                <c:pt idx="49">
                  <c:v>-326.3284522036638</c:v>
                </c:pt>
                <c:pt idx="50">
                  <c:v>-326.3284522036638</c:v>
                </c:pt>
                <c:pt idx="51">
                  <c:v>-331.12754555259437</c:v>
                </c:pt>
                <c:pt idx="52">
                  <c:v>-331.12754555259437</c:v>
                </c:pt>
                <c:pt idx="53">
                  <c:v>-331.12754555259437</c:v>
                </c:pt>
                <c:pt idx="54">
                  <c:v>-398.0065815981755</c:v>
                </c:pt>
                <c:pt idx="55">
                  <c:v>-398.0065815981755</c:v>
                </c:pt>
                <c:pt idx="56">
                  <c:v>-398.0065815981755</c:v>
                </c:pt>
                <c:pt idx="57">
                  <c:v>-405.28727883082064</c:v>
                </c:pt>
                <c:pt idx="58">
                  <c:v>-405.28727883082064</c:v>
                </c:pt>
                <c:pt idx="59">
                  <c:v>-405.28727883082064</c:v>
                </c:pt>
                <c:pt idx="60">
                  <c:v>-416.1884962689611</c:v>
                </c:pt>
                <c:pt idx="61">
                  <c:v>-416.1884962689611</c:v>
                </c:pt>
                <c:pt idx="62">
                  <c:v>-416.1884962689611</c:v>
                </c:pt>
                <c:pt idx="63">
                  <c:v>-424.33606894905716</c:v>
                </c:pt>
                <c:pt idx="64">
                  <c:v>-424.33606894905716</c:v>
                </c:pt>
                <c:pt idx="65">
                  <c:v>-424.33606894905716</c:v>
                </c:pt>
                <c:pt idx="66">
                  <c:v>-426.93895185870213</c:v>
                </c:pt>
                <c:pt idx="67">
                  <c:v>-426.93895185870213</c:v>
                </c:pt>
                <c:pt idx="68">
                  <c:v>-426.93895185870213</c:v>
                </c:pt>
                <c:pt idx="69">
                  <c:v>-435.62851267526793</c:v>
                </c:pt>
                <c:pt idx="70">
                  <c:v>-435.62851267526793</c:v>
                </c:pt>
                <c:pt idx="71">
                  <c:v>-435.62851267526793</c:v>
                </c:pt>
                <c:pt idx="72">
                  <c:v>-448.14353041790594</c:v>
                </c:pt>
                <c:pt idx="73">
                  <c:v>-448.14353041790594</c:v>
                </c:pt>
                <c:pt idx="74">
                  <c:v>-448.14353041790594</c:v>
                </c:pt>
                <c:pt idx="75">
                  <c:v>-457.15376441008738</c:v>
                </c:pt>
                <c:pt idx="76">
                  <c:v>-457.15376441008738</c:v>
                </c:pt>
                <c:pt idx="77">
                  <c:v>-457.15376441008738</c:v>
                </c:pt>
                <c:pt idx="78">
                  <c:v>-586.07402056313003</c:v>
                </c:pt>
                <c:pt idx="79">
                  <c:v>-586.07402056313003</c:v>
                </c:pt>
                <c:pt idx="80">
                  <c:v>-586.07402056313003</c:v>
                </c:pt>
                <c:pt idx="81">
                  <c:v>-603.73249720364936</c:v>
                </c:pt>
                <c:pt idx="82">
                  <c:v>-603.73249720364936</c:v>
                </c:pt>
                <c:pt idx="83">
                  <c:v>-603.73249720364936</c:v>
                </c:pt>
                <c:pt idx="84">
                  <c:v>-628.62569425280412</c:v>
                </c:pt>
                <c:pt idx="85">
                  <c:v>-628.62569425280412</c:v>
                </c:pt>
                <c:pt idx="86">
                  <c:v>-628.62569425280412</c:v>
                </c:pt>
                <c:pt idx="87">
                  <c:v>-646.09502329574661</c:v>
                </c:pt>
                <c:pt idx="88">
                  <c:v>-646.09502329574661</c:v>
                </c:pt>
                <c:pt idx="89">
                  <c:v>-646.09502329574661</c:v>
                </c:pt>
                <c:pt idx="90">
                  <c:v>-776.32105710298208</c:v>
                </c:pt>
                <c:pt idx="91">
                  <c:v>-776.32105710298208</c:v>
                </c:pt>
                <c:pt idx="92">
                  <c:v>-776.32105710298208</c:v>
                </c:pt>
                <c:pt idx="93">
                  <c:v>-806.70877659644827</c:v>
                </c:pt>
                <c:pt idx="94">
                  <c:v>-806.70877659644827</c:v>
                </c:pt>
                <c:pt idx="95">
                  <c:v>-806.70877659644827</c:v>
                </c:pt>
                <c:pt idx="96">
                  <c:v>-850.46328003634119</c:v>
                </c:pt>
                <c:pt idx="97">
                  <c:v>-850.46328003634119</c:v>
                </c:pt>
                <c:pt idx="98">
                  <c:v>-850.46328003634119</c:v>
                </c:pt>
                <c:pt idx="99">
                  <c:v>-881.87562907300537</c:v>
                </c:pt>
                <c:pt idx="100">
                  <c:v>-881.87562907300537</c:v>
                </c:pt>
                <c:pt idx="101">
                  <c:v>-881.87562907300537</c:v>
                </c:pt>
                <c:pt idx="102">
                  <c:v>-906.81562403492137</c:v>
                </c:pt>
                <c:pt idx="103">
                  <c:v>-906.81562403492171</c:v>
                </c:pt>
                <c:pt idx="104">
                  <c:v>-906.81562403492171</c:v>
                </c:pt>
                <c:pt idx="105">
                  <c:v>-971.92861543923232</c:v>
                </c:pt>
                <c:pt idx="106">
                  <c:v>-971.92861543923232</c:v>
                </c:pt>
                <c:pt idx="107">
                  <c:v>-971.92861543923232</c:v>
                </c:pt>
                <c:pt idx="108">
                  <c:v>-1039.4582859395948</c:v>
                </c:pt>
                <c:pt idx="109">
                  <c:v>-1039.4582859395948</c:v>
                </c:pt>
                <c:pt idx="110">
                  <c:v>-1039.4582859395948</c:v>
                </c:pt>
                <c:pt idx="111">
                  <c:v>-1041.4632683442262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909-448D-9715-351434B74D85}"/>
            </c:ext>
          </c:extLst>
        </c:ser>
        <c:ser>
          <c:idx val="14"/>
          <c:order val="9"/>
          <c:tx>
            <c:v>Hyperbolic (+)</c:v>
          </c:tx>
          <c:spPr>
            <a:ln w="12700"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Path!$N$27:$N$138</c:f>
              <c:numCache>
                <c:formatCode>0.0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31.577481161143542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52.062151540003555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54.004839867389329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56.677383949303298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58.322354114998355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59.521309378332056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61.541882056502217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64.469641298993821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66.588381545986664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108.39272963334621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110.98487256554887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115.19636603456168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118.51562382186434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119.71878184790872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122.26773702609637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126.10049157698487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128.96280444369717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165.03078874957896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168.58486956937878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173.78869380907753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177.58978526338473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178.78874052671841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182.73909738657295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188.2922182522174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192.19501622652453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240.90123938524815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246.72127530518588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254.64299884986653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260.01709280224418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296.01737271834224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303.54536637330381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313.90091210063173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321.01193444918596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326.47965119222556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353.76087907999761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382.05465410665965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382.89470738499978</c:v>
                </c:pt>
              </c:numCache>
            </c:numRef>
          </c:xVal>
          <c:yVal>
            <c:numRef>
              <c:f>Path!$AB$27:$AB$138</c:f>
              <c:numCache>
                <c:formatCode>0</c:formatCode>
                <c:ptCount val="112"/>
                <c:pt idx="0">
                  <c:v>201.4999999999994</c:v>
                </c:pt>
                <c:pt idx="1">
                  <c:v>201.49999999999932</c:v>
                </c:pt>
                <c:pt idx="2">
                  <c:v>201.49999999999932</c:v>
                </c:pt>
                <c:pt idx="3">
                  <c:v>201.49999999999932</c:v>
                </c:pt>
                <c:pt idx="4">
                  <c:v>201.49999999999932</c:v>
                </c:pt>
                <c:pt idx="5">
                  <c:v>201.49999999999932</c:v>
                </c:pt>
                <c:pt idx="6">
                  <c:v>216.52955239075777</c:v>
                </c:pt>
                <c:pt idx="7">
                  <c:v>216.52955239075777</c:v>
                </c:pt>
                <c:pt idx="8">
                  <c:v>216.52955239075777</c:v>
                </c:pt>
                <c:pt idx="9">
                  <c:v>218.09061624844415</c:v>
                </c:pt>
                <c:pt idx="10">
                  <c:v>218.09061624844415</c:v>
                </c:pt>
                <c:pt idx="11">
                  <c:v>218.09061624844415</c:v>
                </c:pt>
                <c:pt idx="12">
                  <c:v>220.27842374473985</c:v>
                </c:pt>
                <c:pt idx="13">
                  <c:v>220.27842374473985</c:v>
                </c:pt>
                <c:pt idx="14">
                  <c:v>220.27842374473985</c:v>
                </c:pt>
                <c:pt idx="15">
                  <c:v>221.6484967193341</c:v>
                </c:pt>
                <c:pt idx="16">
                  <c:v>221.6484967193341</c:v>
                </c:pt>
                <c:pt idx="17">
                  <c:v>221.6484967193341</c:v>
                </c:pt>
                <c:pt idx="18">
                  <c:v>222.65847366261477</c:v>
                </c:pt>
                <c:pt idx="19">
                  <c:v>222.65847366261477</c:v>
                </c:pt>
                <c:pt idx="20">
                  <c:v>222.65847366261477</c:v>
                </c:pt>
                <c:pt idx="21">
                  <c:v>224.38248820244627</c:v>
                </c:pt>
                <c:pt idx="22">
                  <c:v>224.38248820244627</c:v>
                </c:pt>
                <c:pt idx="23">
                  <c:v>224.38248820244627</c:v>
                </c:pt>
                <c:pt idx="24">
                  <c:v>226.92994959204526</c:v>
                </c:pt>
                <c:pt idx="25">
                  <c:v>226.92994959204526</c:v>
                </c:pt>
                <c:pt idx="26">
                  <c:v>226.92994959204526</c:v>
                </c:pt>
                <c:pt idx="27">
                  <c:v>228.81044684073927</c:v>
                </c:pt>
                <c:pt idx="28">
                  <c:v>228.81044684073927</c:v>
                </c:pt>
                <c:pt idx="29">
                  <c:v>228.81044684073927</c:v>
                </c:pt>
                <c:pt idx="30">
                  <c:v>272.89500548380835</c:v>
                </c:pt>
                <c:pt idx="31">
                  <c:v>272.89500548380835</c:v>
                </c:pt>
                <c:pt idx="32">
                  <c:v>272.89500548380835</c:v>
                </c:pt>
                <c:pt idx="33">
                  <c:v>276.10932931043476</c:v>
                </c:pt>
                <c:pt idx="34">
                  <c:v>276.10932931043476</c:v>
                </c:pt>
                <c:pt idx="35">
                  <c:v>276.10932931043476</c:v>
                </c:pt>
                <c:pt idx="36">
                  <c:v>281.46377117875807</c:v>
                </c:pt>
                <c:pt idx="37">
                  <c:v>281.46377117875807</c:v>
                </c:pt>
                <c:pt idx="38">
                  <c:v>281.46377117875807</c:v>
                </c:pt>
                <c:pt idx="39">
                  <c:v>285.80152941963399</c:v>
                </c:pt>
                <c:pt idx="40">
                  <c:v>285.80152941963399</c:v>
                </c:pt>
                <c:pt idx="41">
                  <c:v>285.80152941963399</c:v>
                </c:pt>
                <c:pt idx="42">
                  <c:v>287.39996433432276</c:v>
                </c:pt>
                <c:pt idx="43">
                  <c:v>287.39996433432276</c:v>
                </c:pt>
                <c:pt idx="44">
                  <c:v>287.39996433432276</c:v>
                </c:pt>
                <c:pt idx="45">
                  <c:v>290.83288616004035</c:v>
                </c:pt>
                <c:pt idx="46">
                  <c:v>290.83288616004035</c:v>
                </c:pt>
                <c:pt idx="47">
                  <c:v>290.83288616004035</c:v>
                </c:pt>
                <c:pt idx="48">
                  <c:v>296.11580123718011</c:v>
                </c:pt>
                <c:pt idx="49">
                  <c:v>296.11580123718011</c:v>
                </c:pt>
                <c:pt idx="50">
                  <c:v>296.11580123718011</c:v>
                </c:pt>
                <c:pt idx="51">
                  <c:v>300.15775414151983</c:v>
                </c:pt>
                <c:pt idx="52">
                  <c:v>300.15775414151983</c:v>
                </c:pt>
                <c:pt idx="53">
                  <c:v>300.15775414151983</c:v>
                </c:pt>
                <c:pt idx="54">
                  <c:v>358.8622748895732</c:v>
                </c:pt>
                <c:pt idx="55">
                  <c:v>358.8622748895732</c:v>
                </c:pt>
                <c:pt idx="56">
                  <c:v>358.8622748895732</c:v>
                </c:pt>
                <c:pt idx="57">
                  <c:v>365.50104563173124</c:v>
                </c:pt>
                <c:pt idx="58">
                  <c:v>365.50104563173124</c:v>
                </c:pt>
                <c:pt idx="59">
                  <c:v>365.50104563173124</c:v>
                </c:pt>
                <c:pt idx="60">
                  <c:v>375.52558777160385</c:v>
                </c:pt>
                <c:pt idx="61">
                  <c:v>375.52558777160385</c:v>
                </c:pt>
                <c:pt idx="62">
                  <c:v>375.52558777160385</c:v>
                </c:pt>
                <c:pt idx="63">
                  <c:v>383.08272809307778</c:v>
                </c:pt>
                <c:pt idx="64">
                  <c:v>383.08272809307778</c:v>
                </c:pt>
                <c:pt idx="65">
                  <c:v>383.08272809307778</c:v>
                </c:pt>
                <c:pt idx="66">
                  <c:v>385.50847914070965</c:v>
                </c:pt>
                <c:pt idx="67">
                  <c:v>385.50847914070965</c:v>
                </c:pt>
                <c:pt idx="68">
                  <c:v>385.50847914070965</c:v>
                </c:pt>
                <c:pt idx="69">
                  <c:v>393.6464243828699</c:v>
                </c:pt>
                <c:pt idx="70">
                  <c:v>393.6464243828699</c:v>
                </c:pt>
                <c:pt idx="71">
                  <c:v>393.6464243828699</c:v>
                </c:pt>
                <c:pt idx="72">
                  <c:v>405.47262376667101</c:v>
                </c:pt>
                <c:pt idx="73">
                  <c:v>405.47262376667101</c:v>
                </c:pt>
                <c:pt idx="74">
                  <c:v>405.47262376667101</c:v>
                </c:pt>
                <c:pt idx="75">
                  <c:v>414.06255101537158</c:v>
                </c:pt>
                <c:pt idx="76">
                  <c:v>414.06255101537158</c:v>
                </c:pt>
                <c:pt idx="77">
                  <c:v>414.06255101537158</c:v>
                </c:pt>
                <c:pt idx="78">
                  <c:v>543.30621894866169</c:v>
                </c:pt>
                <c:pt idx="79">
                  <c:v>543.30621894866169</c:v>
                </c:pt>
                <c:pt idx="80">
                  <c:v>543.30621894866169</c:v>
                </c:pt>
                <c:pt idx="81">
                  <c:v>561.85780576937771</c:v>
                </c:pt>
                <c:pt idx="82">
                  <c:v>561.85780576937771</c:v>
                </c:pt>
                <c:pt idx="83">
                  <c:v>561.85780576937771</c:v>
                </c:pt>
                <c:pt idx="84">
                  <c:v>588.32997288231923</c:v>
                </c:pt>
                <c:pt idx="85">
                  <c:v>588.32997288231923</c:v>
                </c:pt>
                <c:pt idx="86">
                  <c:v>588.32997288231923</c:v>
                </c:pt>
                <c:pt idx="87">
                  <c:v>607.12533579580838</c:v>
                </c:pt>
                <c:pt idx="88">
                  <c:v>607.12533579580838</c:v>
                </c:pt>
                <c:pt idx="89">
                  <c:v>607.12533579580838</c:v>
                </c:pt>
                <c:pt idx="90">
                  <c:v>752.54234110861205</c:v>
                </c:pt>
                <c:pt idx="91">
                  <c:v>752.54234110861205</c:v>
                </c:pt>
                <c:pt idx="92">
                  <c:v>752.54234110861205</c:v>
                </c:pt>
                <c:pt idx="93">
                  <c:v>787.74024093379103</c:v>
                </c:pt>
                <c:pt idx="94">
                  <c:v>787.74024093379103</c:v>
                </c:pt>
                <c:pt idx="95">
                  <c:v>787.74024093379103</c:v>
                </c:pt>
                <c:pt idx="96">
                  <c:v>839.20866031842741</c:v>
                </c:pt>
                <c:pt idx="97">
                  <c:v>839.20866031842741</c:v>
                </c:pt>
                <c:pt idx="98">
                  <c:v>839.20866031842741</c:v>
                </c:pt>
                <c:pt idx="99">
                  <c:v>876.71516512536505</c:v>
                </c:pt>
                <c:pt idx="100">
                  <c:v>876.71516512536505</c:v>
                </c:pt>
                <c:pt idx="101">
                  <c:v>876.71516512536505</c:v>
                </c:pt>
                <c:pt idx="102">
                  <c:v>906.815622700321</c:v>
                </c:pt>
                <c:pt idx="103">
                  <c:v>906.81562403492171</c:v>
                </c:pt>
                <c:pt idx="104">
                  <c:v>906.81562403492171</c:v>
                </c:pt>
                <c:pt idx="105">
                  <c:v>971.92861543923232</c:v>
                </c:pt>
                <c:pt idx="106">
                  <c:v>971.92861543923232</c:v>
                </c:pt>
                <c:pt idx="107">
                  <c:v>971.92861543923232</c:v>
                </c:pt>
                <c:pt idx="108">
                  <c:v>1039.4582859395948</c:v>
                </c:pt>
                <c:pt idx="109">
                  <c:v>1039.4582859395948</c:v>
                </c:pt>
                <c:pt idx="110">
                  <c:v>1039.4582859395948</c:v>
                </c:pt>
                <c:pt idx="111">
                  <c:v>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909-448D-9715-351434B74D85}"/>
            </c:ext>
          </c:extLst>
        </c:ser>
        <c:ser>
          <c:idx val="15"/>
          <c:order val="10"/>
          <c:tx>
            <c:v>Hyperbolic (-)</c:v>
          </c:tx>
          <c:spPr>
            <a:ln w="12700"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Path!$N$26:$N$138</c:f>
              <c:numCache>
                <c:formatCode>0.0</c:formatCode>
                <c:ptCount val="1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31.577481161143542</c:v>
                </c:pt>
                <c:pt idx="5">
                  <c:v>31.577481161143542</c:v>
                </c:pt>
                <c:pt idx="6">
                  <c:v>31.577481161143542</c:v>
                </c:pt>
                <c:pt idx="7">
                  <c:v>52.062151540003555</c:v>
                </c:pt>
                <c:pt idx="8">
                  <c:v>52.062151540003555</c:v>
                </c:pt>
                <c:pt idx="9">
                  <c:v>52.062151540003555</c:v>
                </c:pt>
                <c:pt idx="10">
                  <c:v>54.004839867389329</c:v>
                </c:pt>
                <c:pt idx="11">
                  <c:v>54.004839867389329</c:v>
                </c:pt>
                <c:pt idx="12">
                  <c:v>54.004839867389329</c:v>
                </c:pt>
                <c:pt idx="13">
                  <c:v>56.677383949303298</c:v>
                </c:pt>
                <c:pt idx="14">
                  <c:v>56.677383949303298</c:v>
                </c:pt>
                <c:pt idx="15">
                  <c:v>56.677383949303298</c:v>
                </c:pt>
                <c:pt idx="16">
                  <c:v>58.322354114998355</c:v>
                </c:pt>
                <c:pt idx="17">
                  <c:v>58.322354114998355</c:v>
                </c:pt>
                <c:pt idx="18">
                  <c:v>58.322354114998355</c:v>
                </c:pt>
                <c:pt idx="19">
                  <c:v>59.521309378332056</c:v>
                </c:pt>
                <c:pt idx="20">
                  <c:v>59.521309378332056</c:v>
                </c:pt>
                <c:pt idx="21">
                  <c:v>59.521309378332056</c:v>
                </c:pt>
                <c:pt idx="22">
                  <c:v>61.541882056502217</c:v>
                </c:pt>
                <c:pt idx="23">
                  <c:v>61.541882056502217</c:v>
                </c:pt>
                <c:pt idx="24">
                  <c:v>61.541882056502217</c:v>
                </c:pt>
                <c:pt idx="25">
                  <c:v>64.469641298993821</c:v>
                </c:pt>
                <c:pt idx="26">
                  <c:v>64.469641298993821</c:v>
                </c:pt>
                <c:pt idx="27">
                  <c:v>64.469641298993821</c:v>
                </c:pt>
                <c:pt idx="28">
                  <c:v>66.588381545986664</c:v>
                </c:pt>
                <c:pt idx="29">
                  <c:v>66.588381545986664</c:v>
                </c:pt>
                <c:pt idx="30">
                  <c:v>66.588381545986664</c:v>
                </c:pt>
                <c:pt idx="31">
                  <c:v>108.39272963334621</c:v>
                </c:pt>
                <c:pt idx="32">
                  <c:v>108.39272963334621</c:v>
                </c:pt>
                <c:pt idx="33">
                  <c:v>108.39272963334621</c:v>
                </c:pt>
                <c:pt idx="34">
                  <c:v>110.98487256554887</c:v>
                </c:pt>
                <c:pt idx="35">
                  <c:v>110.98487256554887</c:v>
                </c:pt>
                <c:pt idx="36">
                  <c:v>110.98487256554887</c:v>
                </c:pt>
                <c:pt idx="37">
                  <c:v>115.19636603456168</c:v>
                </c:pt>
                <c:pt idx="38">
                  <c:v>115.19636603456168</c:v>
                </c:pt>
                <c:pt idx="39">
                  <c:v>115.19636603456168</c:v>
                </c:pt>
                <c:pt idx="40">
                  <c:v>118.51562382186434</c:v>
                </c:pt>
                <c:pt idx="41">
                  <c:v>118.51562382186434</c:v>
                </c:pt>
                <c:pt idx="42">
                  <c:v>118.51562382186434</c:v>
                </c:pt>
                <c:pt idx="43">
                  <c:v>119.71878184790872</c:v>
                </c:pt>
                <c:pt idx="44">
                  <c:v>119.71878184790872</c:v>
                </c:pt>
                <c:pt idx="45">
                  <c:v>119.71878184790872</c:v>
                </c:pt>
                <c:pt idx="46">
                  <c:v>122.26773702609637</c:v>
                </c:pt>
                <c:pt idx="47">
                  <c:v>122.26773702609637</c:v>
                </c:pt>
                <c:pt idx="48">
                  <c:v>122.26773702609637</c:v>
                </c:pt>
                <c:pt idx="49">
                  <c:v>126.10049157698487</c:v>
                </c:pt>
                <c:pt idx="50">
                  <c:v>126.10049157698487</c:v>
                </c:pt>
                <c:pt idx="51">
                  <c:v>126.10049157698487</c:v>
                </c:pt>
                <c:pt idx="52">
                  <c:v>128.96280444369717</c:v>
                </c:pt>
                <c:pt idx="53">
                  <c:v>128.96280444369717</c:v>
                </c:pt>
                <c:pt idx="54">
                  <c:v>128.96280444369717</c:v>
                </c:pt>
                <c:pt idx="55">
                  <c:v>165.03078874957896</c:v>
                </c:pt>
                <c:pt idx="56">
                  <c:v>165.03078874957896</c:v>
                </c:pt>
                <c:pt idx="57">
                  <c:v>165.03078874957896</c:v>
                </c:pt>
                <c:pt idx="58">
                  <c:v>168.58486956937878</c:v>
                </c:pt>
                <c:pt idx="59">
                  <c:v>168.58486956937878</c:v>
                </c:pt>
                <c:pt idx="60">
                  <c:v>168.58486956937878</c:v>
                </c:pt>
                <c:pt idx="61">
                  <c:v>173.78869380907753</c:v>
                </c:pt>
                <c:pt idx="62">
                  <c:v>173.78869380907753</c:v>
                </c:pt>
                <c:pt idx="63">
                  <c:v>173.78869380907753</c:v>
                </c:pt>
                <c:pt idx="64">
                  <c:v>177.58978526338473</c:v>
                </c:pt>
                <c:pt idx="65">
                  <c:v>177.58978526338473</c:v>
                </c:pt>
                <c:pt idx="66">
                  <c:v>177.58978526338473</c:v>
                </c:pt>
                <c:pt idx="67">
                  <c:v>178.78874052671841</c:v>
                </c:pt>
                <c:pt idx="68">
                  <c:v>178.78874052671841</c:v>
                </c:pt>
                <c:pt idx="69">
                  <c:v>178.78874052671841</c:v>
                </c:pt>
                <c:pt idx="70">
                  <c:v>182.73909738657295</c:v>
                </c:pt>
                <c:pt idx="71">
                  <c:v>182.73909738657295</c:v>
                </c:pt>
                <c:pt idx="72">
                  <c:v>182.73909738657295</c:v>
                </c:pt>
                <c:pt idx="73">
                  <c:v>188.2922182522174</c:v>
                </c:pt>
                <c:pt idx="74">
                  <c:v>188.2922182522174</c:v>
                </c:pt>
                <c:pt idx="75">
                  <c:v>188.2922182522174</c:v>
                </c:pt>
                <c:pt idx="76">
                  <c:v>192.19501622652453</c:v>
                </c:pt>
                <c:pt idx="77">
                  <c:v>192.19501622652453</c:v>
                </c:pt>
                <c:pt idx="78">
                  <c:v>192.19501622652453</c:v>
                </c:pt>
                <c:pt idx="79">
                  <c:v>240.90123938524815</c:v>
                </c:pt>
                <c:pt idx="80">
                  <c:v>240.90123938524815</c:v>
                </c:pt>
                <c:pt idx="81">
                  <c:v>240.90123938524815</c:v>
                </c:pt>
                <c:pt idx="82">
                  <c:v>246.72127530518588</c:v>
                </c:pt>
                <c:pt idx="83">
                  <c:v>246.72127530518588</c:v>
                </c:pt>
                <c:pt idx="84">
                  <c:v>246.72127530518588</c:v>
                </c:pt>
                <c:pt idx="85">
                  <c:v>254.64299884986653</c:v>
                </c:pt>
                <c:pt idx="86">
                  <c:v>254.64299884986653</c:v>
                </c:pt>
                <c:pt idx="87">
                  <c:v>254.64299884986653</c:v>
                </c:pt>
                <c:pt idx="88">
                  <c:v>260.01709280224418</c:v>
                </c:pt>
                <c:pt idx="89">
                  <c:v>260.01709280224418</c:v>
                </c:pt>
                <c:pt idx="90">
                  <c:v>260.01709280224418</c:v>
                </c:pt>
                <c:pt idx="91">
                  <c:v>296.01737271834224</c:v>
                </c:pt>
                <c:pt idx="92">
                  <c:v>296.01737271834224</c:v>
                </c:pt>
                <c:pt idx="93">
                  <c:v>296.01737271834224</c:v>
                </c:pt>
                <c:pt idx="94">
                  <c:v>303.54536637330381</c:v>
                </c:pt>
                <c:pt idx="95">
                  <c:v>303.54536637330381</c:v>
                </c:pt>
                <c:pt idx="96">
                  <c:v>303.54536637330381</c:v>
                </c:pt>
                <c:pt idx="97">
                  <c:v>313.90091210063173</c:v>
                </c:pt>
                <c:pt idx="98">
                  <c:v>313.90091210063173</c:v>
                </c:pt>
                <c:pt idx="99">
                  <c:v>313.90091210063173</c:v>
                </c:pt>
                <c:pt idx="100">
                  <c:v>321.01193444918596</c:v>
                </c:pt>
                <c:pt idx="101">
                  <c:v>321.01193444918596</c:v>
                </c:pt>
                <c:pt idx="102">
                  <c:v>321.01193444918596</c:v>
                </c:pt>
                <c:pt idx="103">
                  <c:v>326.47965119222556</c:v>
                </c:pt>
                <c:pt idx="104">
                  <c:v>326.47965119222556</c:v>
                </c:pt>
                <c:pt idx="105">
                  <c:v>326.47965119222556</c:v>
                </c:pt>
                <c:pt idx="106">
                  <c:v>353.76087907999761</c:v>
                </c:pt>
                <c:pt idx="107">
                  <c:v>353.76087907999761</c:v>
                </c:pt>
                <c:pt idx="108">
                  <c:v>353.76087907999761</c:v>
                </c:pt>
                <c:pt idx="109">
                  <c:v>382.05465410665965</c:v>
                </c:pt>
                <c:pt idx="110">
                  <c:v>382.05465410665965</c:v>
                </c:pt>
                <c:pt idx="111">
                  <c:v>382.05465410665965</c:v>
                </c:pt>
                <c:pt idx="112">
                  <c:v>382.89470738499978</c:v>
                </c:pt>
              </c:numCache>
            </c:numRef>
          </c:xVal>
          <c:yVal>
            <c:numRef>
              <c:f>Path!$AC$26:$AC$138</c:f>
              <c:numCache>
                <c:formatCode>0</c:formatCode>
                <c:ptCount val="113"/>
                <c:pt idx="1">
                  <c:v>-201.4999999999994</c:v>
                </c:pt>
                <c:pt idx="2">
                  <c:v>-201.49999999999932</c:v>
                </c:pt>
                <c:pt idx="3">
                  <c:v>-201.49999999999932</c:v>
                </c:pt>
                <c:pt idx="4">
                  <c:v>-201.49999999999932</c:v>
                </c:pt>
                <c:pt idx="5">
                  <c:v>-201.49999999999932</c:v>
                </c:pt>
                <c:pt idx="6">
                  <c:v>-201.49999999999932</c:v>
                </c:pt>
                <c:pt idx="7">
                  <c:v>-216.52955239075777</c:v>
                </c:pt>
                <c:pt idx="8">
                  <c:v>-216.52955239075777</c:v>
                </c:pt>
                <c:pt idx="9">
                  <c:v>-216.52955239075777</c:v>
                </c:pt>
                <c:pt idx="10">
                  <c:v>-218.09061624844415</c:v>
                </c:pt>
                <c:pt idx="11">
                  <c:v>-218.09061624844415</c:v>
                </c:pt>
                <c:pt idx="12">
                  <c:v>-218.09061624844415</c:v>
                </c:pt>
                <c:pt idx="13">
                  <c:v>-220.27842374473985</c:v>
                </c:pt>
                <c:pt idx="14">
                  <c:v>-220.27842374473985</c:v>
                </c:pt>
                <c:pt idx="15">
                  <c:v>-220.27842374473985</c:v>
                </c:pt>
                <c:pt idx="16">
                  <c:v>-221.6484967193341</c:v>
                </c:pt>
                <c:pt idx="17">
                  <c:v>-221.6484967193341</c:v>
                </c:pt>
                <c:pt idx="18">
                  <c:v>-221.6484967193341</c:v>
                </c:pt>
                <c:pt idx="19">
                  <c:v>-222.65847366261477</c:v>
                </c:pt>
                <c:pt idx="20">
                  <c:v>-222.65847366261477</c:v>
                </c:pt>
                <c:pt idx="21">
                  <c:v>-222.65847366261477</c:v>
                </c:pt>
                <c:pt idx="22">
                  <c:v>-224.38248820244627</c:v>
                </c:pt>
                <c:pt idx="23">
                  <c:v>-224.38248820244627</c:v>
                </c:pt>
                <c:pt idx="24">
                  <c:v>-224.38248820244627</c:v>
                </c:pt>
                <c:pt idx="25">
                  <c:v>-226.92994959204526</c:v>
                </c:pt>
                <c:pt idx="26">
                  <c:v>-226.92994959204526</c:v>
                </c:pt>
                <c:pt idx="27">
                  <c:v>-226.92994959204526</c:v>
                </c:pt>
                <c:pt idx="28">
                  <c:v>-228.81044684073927</c:v>
                </c:pt>
                <c:pt idx="29">
                  <c:v>-228.81044684073927</c:v>
                </c:pt>
                <c:pt idx="30">
                  <c:v>-228.81044684073927</c:v>
                </c:pt>
                <c:pt idx="31">
                  <c:v>-272.89500548380835</c:v>
                </c:pt>
                <c:pt idx="32">
                  <c:v>-272.89500548380835</c:v>
                </c:pt>
                <c:pt idx="33">
                  <c:v>-272.89500548380835</c:v>
                </c:pt>
                <c:pt idx="34">
                  <c:v>-276.10932931043476</c:v>
                </c:pt>
                <c:pt idx="35">
                  <c:v>-276.10932931043476</c:v>
                </c:pt>
                <c:pt idx="36">
                  <c:v>-276.10932931043476</c:v>
                </c:pt>
                <c:pt idx="37">
                  <c:v>-281.46377117875807</c:v>
                </c:pt>
                <c:pt idx="38">
                  <c:v>-281.46377117875807</c:v>
                </c:pt>
                <c:pt idx="39">
                  <c:v>-281.46377117875807</c:v>
                </c:pt>
                <c:pt idx="40">
                  <c:v>-285.80152941963399</c:v>
                </c:pt>
                <c:pt idx="41">
                  <c:v>-285.80152941963399</c:v>
                </c:pt>
                <c:pt idx="42">
                  <c:v>-285.80152941963399</c:v>
                </c:pt>
                <c:pt idx="43">
                  <c:v>-287.39996433432276</c:v>
                </c:pt>
                <c:pt idx="44">
                  <c:v>-287.39996433432276</c:v>
                </c:pt>
                <c:pt idx="45">
                  <c:v>-287.39996433432276</c:v>
                </c:pt>
                <c:pt idx="46">
                  <c:v>-290.83288616004035</c:v>
                </c:pt>
                <c:pt idx="47">
                  <c:v>-290.83288616004035</c:v>
                </c:pt>
                <c:pt idx="48">
                  <c:v>-290.83288616004035</c:v>
                </c:pt>
                <c:pt idx="49">
                  <c:v>-296.11580123718011</c:v>
                </c:pt>
                <c:pt idx="50">
                  <c:v>-296.11580123718011</c:v>
                </c:pt>
                <c:pt idx="51">
                  <c:v>-296.11580123718011</c:v>
                </c:pt>
                <c:pt idx="52">
                  <c:v>-300.15775414151983</c:v>
                </c:pt>
                <c:pt idx="53">
                  <c:v>-300.15775414151983</c:v>
                </c:pt>
                <c:pt idx="54">
                  <c:v>-300.15775414151983</c:v>
                </c:pt>
                <c:pt idx="55">
                  <c:v>-358.8622748895732</c:v>
                </c:pt>
                <c:pt idx="56">
                  <c:v>-358.8622748895732</c:v>
                </c:pt>
                <c:pt idx="57">
                  <c:v>-358.8622748895732</c:v>
                </c:pt>
                <c:pt idx="58">
                  <c:v>-365.50104563173124</c:v>
                </c:pt>
                <c:pt idx="59">
                  <c:v>-365.50104563173124</c:v>
                </c:pt>
                <c:pt idx="60">
                  <c:v>-365.50104563173124</c:v>
                </c:pt>
                <c:pt idx="61">
                  <c:v>-375.52558777160385</c:v>
                </c:pt>
                <c:pt idx="62">
                  <c:v>-375.52558777160385</c:v>
                </c:pt>
                <c:pt idx="63">
                  <c:v>-375.52558777160385</c:v>
                </c:pt>
                <c:pt idx="64">
                  <c:v>-383.08272809307778</c:v>
                </c:pt>
                <c:pt idx="65">
                  <c:v>-383.08272809307778</c:v>
                </c:pt>
                <c:pt idx="66">
                  <c:v>-383.08272809307778</c:v>
                </c:pt>
                <c:pt idx="67">
                  <c:v>-385.50847914070965</c:v>
                </c:pt>
                <c:pt idx="68">
                  <c:v>-385.50847914070965</c:v>
                </c:pt>
                <c:pt idx="69">
                  <c:v>-385.50847914070965</c:v>
                </c:pt>
                <c:pt idx="70">
                  <c:v>-393.6464243828699</c:v>
                </c:pt>
                <c:pt idx="71">
                  <c:v>-393.6464243828699</c:v>
                </c:pt>
                <c:pt idx="72">
                  <c:v>-393.6464243828699</c:v>
                </c:pt>
                <c:pt idx="73">
                  <c:v>-405.47262376667101</c:v>
                </c:pt>
                <c:pt idx="74">
                  <c:v>-405.47262376667101</c:v>
                </c:pt>
                <c:pt idx="75">
                  <c:v>-405.47262376667101</c:v>
                </c:pt>
                <c:pt idx="76">
                  <c:v>-414.06255101537158</c:v>
                </c:pt>
                <c:pt idx="77">
                  <c:v>-414.06255101537158</c:v>
                </c:pt>
                <c:pt idx="78">
                  <c:v>-414.06255101537158</c:v>
                </c:pt>
                <c:pt idx="79">
                  <c:v>-543.30621894866169</c:v>
                </c:pt>
                <c:pt idx="80">
                  <c:v>-543.30621894866169</c:v>
                </c:pt>
                <c:pt idx="81">
                  <c:v>-543.30621894866169</c:v>
                </c:pt>
                <c:pt idx="82">
                  <c:v>-561.85780576937771</c:v>
                </c:pt>
                <c:pt idx="83">
                  <c:v>-561.85780576937771</c:v>
                </c:pt>
                <c:pt idx="84">
                  <c:v>-561.85780576937771</c:v>
                </c:pt>
                <c:pt idx="85">
                  <c:v>-588.32997288231923</c:v>
                </c:pt>
                <c:pt idx="86">
                  <c:v>-588.32997288231923</c:v>
                </c:pt>
                <c:pt idx="87">
                  <c:v>-588.32997288231923</c:v>
                </c:pt>
                <c:pt idx="88">
                  <c:v>-607.12533579580838</c:v>
                </c:pt>
                <c:pt idx="89">
                  <c:v>-607.12533579580838</c:v>
                </c:pt>
                <c:pt idx="90">
                  <c:v>-607.12533579580838</c:v>
                </c:pt>
                <c:pt idx="91">
                  <c:v>-752.54234110861205</c:v>
                </c:pt>
                <c:pt idx="92">
                  <c:v>-752.54234110861205</c:v>
                </c:pt>
                <c:pt idx="93">
                  <c:v>-752.54234110861205</c:v>
                </c:pt>
                <c:pt idx="94">
                  <c:v>-787.74024093379103</c:v>
                </c:pt>
                <c:pt idx="95">
                  <c:v>-787.74024093379103</c:v>
                </c:pt>
                <c:pt idx="96">
                  <c:v>-787.74024093379103</c:v>
                </c:pt>
                <c:pt idx="97">
                  <c:v>-839.20866031842741</c:v>
                </c:pt>
                <c:pt idx="98">
                  <c:v>-839.20866031842741</c:v>
                </c:pt>
                <c:pt idx="99">
                  <c:v>-839.20866031842741</c:v>
                </c:pt>
                <c:pt idx="100">
                  <c:v>-876.71516512536505</c:v>
                </c:pt>
                <c:pt idx="101">
                  <c:v>-876.71516512536505</c:v>
                </c:pt>
                <c:pt idx="102">
                  <c:v>-876.71516512536505</c:v>
                </c:pt>
                <c:pt idx="103">
                  <c:v>-906.815622700321</c:v>
                </c:pt>
                <c:pt idx="104">
                  <c:v>-906.81562403492171</c:v>
                </c:pt>
                <c:pt idx="105">
                  <c:v>-906.81562403492171</c:v>
                </c:pt>
                <c:pt idx="106">
                  <c:v>-971.92861543923232</c:v>
                </c:pt>
                <c:pt idx="107">
                  <c:v>-971.92861543923232</c:v>
                </c:pt>
                <c:pt idx="108">
                  <c:v>-971.92861543923232</c:v>
                </c:pt>
                <c:pt idx="109">
                  <c:v>-1039.4582859395948</c:v>
                </c:pt>
                <c:pt idx="110">
                  <c:v>-1039.4582859395948</c:v>
                </c:pt>
                <c:pt idx="111">
                  <c:v>-1039.4582859395948</c:v>
                </c:pt>
                <c:pt idx="112">
                  <c:v>-1041.4632683442262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909-448D-9715-351434B74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8096"/>
        <c:axId val="58230272"/>
      </c:scatterChart>
      <c:valAx>
        <c:axId val="5822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Length</a:t>
                </a:r>
              </a:p>
            </c:rich>
          </c:tx>
          <c:layout>
            <c:manualLayout>
              <c:xMode val="edge"/>
              <c:yMode val="edge"/>
              <c:x val="0.49832214765100669"/>
              <c:y val="0.899162220107102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30272"/>
        <c:crosses val="autoZero"/>
        <c:crossBetween val="midCat"/>
      </c:valAx>
      <c:valAx>
        <c:axId val="5823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Area</a:t>
                </a:r>
              </a:p>
            </c:rich>
          </c:tx>
          <c:layout>
            <c:manualLayout>
              <c:xMode val="edge"/>
              <c:yMode val="edge"/>
              <c:x val="2.6845637583892617E-2"/>
              <c:y val="0.45098170421005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2809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27070574511519E-2"/>
          <c:y val="1.5355971128608923E-2"/>
          <c:w val="0.95141987459900845"/>
          <c:h val="0.96181594488188982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Panels!$F$6:$F$64</c:f>
              <c:numCache>
                <c:formatCode>0.0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1.9</c:v>
                </c:pt>
                <c:pt idx="3">
                  <c:v>1.9</c:v>
                </c:pt>
                <c:pt idx="4">
                  <c:v>0</c:v>
                </c:pt>
                <c:pt idx="6">
                  <c:v>91.44</c:v>
                </c:pt>
                <c:pt idx="7">
                  <c:v>91.44</c:v>
                </c:pt>
                <c:pt idx="8">
                  <c:v>89.539999999999992</c:v>
                </c:pt>
                <c:pt idx="9">
                  <c:v>89.539999999999992</c:v>
                </c:pt>
                <c:pt idx="10">
                  <c:v>91.44</c:v>
                </c:pt>
                <c:pt idx="12">
                  <c:v>91.44</c:v>
                </c:pt>
                <c:pt idx="13">
                  <c:v>0</c:v>
                </c:pt>
                <c:pt idx="14">
                  <c:v>0</c:v>
                </c:pt>
                <c:pt idx="15">
                  <c:v>91.44</c:v>
                </c:pt>
                <c:pt idx="16">
                  <c:v>91.44</c:v>
                </c:pt>
                <c:pt idx="18">
                  <c:v>40.272035367892116</c:v>
                </c:pt>
                <c:pt idx="19">
                  <c:v>89.539999999999992</c:v>
                </c:pt>
                <c:pt idx="20">
                  <c:v>89.539999999999992</c:v>
                </c:pt>
                <c:pt idx="21">
                  <c:v>40.272035367892116</c:v>
                </c:pt>
                <c:pt idx="22">
                  <c:v>40.272035367892116</c:v>
                </c:pt>
                <c:pt idx="24">
                  <c:v>1.9</c:v>
                </c:pt>
                <c:pt idx="25">
                  <c:v>89.539999999999992</c:v>
                </c:pt>
                <c:pt idx="26">
                  <c:v>89.539999999999992</c:v>
                </c:pt>
                <c:pt idx="27">
                  <c:v>1.9</c:v>
                </c:pt>
                <c:pt idx="28">
                  <c:v>1.9</c:v>
                </c:pt>
                <c:pt idx="30">
                  <c:v>40.272035367892116</c:v>
                </c:pt>
                <c:pt idx="31">
                  <c:v>35.038575940612454</c:v>
                </c:pt>
                <c:pt idx="32">
                  <c:v>33.145189725885267</c:v>
                </c:pt>
                <c:pt idx="33">
                  <c:v>38.378649153164929</c:v>
                </c:pt>
                <c:pt idx="34">
                  <c:v>40.272035367892116</c:v>
                </c:pt>
                <c:pt idx="36">
                  <c:v>35.038575940612454</c:v>
                </c:pt>
                <c:pt idx="37">
                  <c:v>35.138614221801454</c:v>
                </c:pt>
                <c:pt idx="38">
                  <c:v>67.955630708791986</c:v>
                </c:pt>
                <c:pt idx="39">
                  <c:v>67.855592427602986</c:v>
                </c:pt>
                <c:pt idx="40">
                  <c:v>35.038575940612454</c:v>
                </c:pt>
                <c:pt idx="42">
                  <c:v>43.36028001473376</c:v>
                </c:pt>
                <c:pt idx="43">
                  <c:v>47.712724459317201</c:v>
                </c:pt>
                <c:pt idx="44">
                  <c:v>46.516901586857927</c:v>
                </c:pt>
                <c:pt idx="45">
                  <c:v>42.164457142274486</c:v>
                </c:pt>
                <c:pt idx="46">
                  <c:v>43.36028001473376</c:v>
                </c:pt>
                <c:pt idx="48">
                  <c:v>56.134206743353026</c:v>
                </c:pt>
                <c:pt idx="49">
                  <c:v>56.134206743353026</c:v>
                </c:pt>
                <c:pt idx="50">
                  <c:v>57.334206743353029</c:v>
                </c:pt>
                <c:pt idx="51">
                  <c:v>57.334206743353029</c:v>
                </c:pt>
                <c:pt idx="52">
                  <c:v>56.134206743353026</c:v>
                </c:pt>
                <c:pt idx="54">
                  <c:v>67.855592427602986</c:v>
                </c:pt>
                <c:pt idx="55">
                  <c:v>71.919536260218237</c:v>
                </c:pt>
                <c:pt idx="56">
                  <c:v>73.115359132677511</c:v>
                </c:pt>
                <c:pt idx="57">
                  <c:v>69.05141530006226</c:v>
                </c:pt>
                <c:pt idx="58">
                  <c:v>67.855592427602986</c:v>
                </c:pt>
              </c:numCache>
            </c:numRef>
          </c:xVal>
          <c:yVal>
            <c:numRef>
              <c:f>Panels!$G$6:$G$64</c:f>
              <c:numCache>
                <c:formatCode>0.0</c:formatCode>
                <c:ptCount val="59"/>
                <c:pt idx="0">
                  <c:v>91.44</c:v>
                </c:pt>
                <c:pt idx="1">
                  <c:v>0</c:v>
                </c:pt>
                <c:pt idx="2">
                  <c:v>0</c:v>
                </c:pt>
                <c:pt idx="3">
                  <c:v>91.44</c:v>
                </c:pt>
                <c:pt idx="4">
                  <c:v>91.44</c:v>
                </c:pt>
                <c:pt idx="6">
                  <c:v>91.44</c:v>
                </c:pt>
                <c:pt idx="7">
                  <c:v>0</c:v>
                </c:pt>
                <c:pt idx="8">
                  <c:v>0</c:v>
                </c:pt>
                <c:pt idx="9">
                  <c:v>91.44</c:v>
                </c:pt>
                <c:pt idx="10">
                  <c:v>91.44</c:v>
                </c:pt>
                <c:pt idx="12">
                  <c:v>91.44</c:v>
                </c:pt>
                <c:pt idx="13">
                  <c:v>91.44</c:v>
                </c:pt>
                <c:pt idx="14">
                  <c:v>0</c:v>
                </c:pt>
                <c:pt idx="15">
                  <c:v>0</c:v>
                </c:pt>
                <c:pt idx="16">
                  <c:v>91.44</c:v>
                </c:pt>
                <c:pt idx="18">
                  <c:v>1.9</c:v>
                </c:pt>
                <c:pt idx="19">
                  <c:v>1.9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4">
                  <c:v>91.44</c:v>
                </c:pt>
                <c:pt idx="25">
                  <c:v>91.44</c:v>
                </c:pt>
                <c:pt idx="26">
                  <c:v>89.539999999999992</c:v>
                </c:pt>
                <c:pt idx="27">
                  <c:v>89.539999999999992</c:v>
                </c:pt>
                <c:pt idx="28">
                  <c:v>91.44</c:v>
                </c:pt>
                <c:pt idx="30">
                  <c:v>0</c:v>
                </c:pt>
                <c:pt idx="31">
                  <c:v>62.558956539897217</c:v>
                </c:pt>
                <c:pt idx="32">
                  <c:v>62.400562594681304</c:v>
                </c:pt>
                <c:pt idx="33">
                  <c:v>-0.15839394521591288</c:v>
                </c:pt>
                <c:pt idx="34">
                  <c:v>0</c:v>
                </c:pt>
                <c:pt idx="36">
                  <c:v>62.558956539897217</c:v>
                </c:pt>
                <c:pt idx="37">
                  <c:v>61.363133667437943</c:v>
                </c:pt>
                <c:pt idx="38">
                  <c:v>64.108488350575925</c:v>
                </c:pt>
                <c:pt idx="39">
                  <c:v>65.304311223035199</c:v>
                </c:pt>
                <c:pt idx="40">
                  <c:v>62.558956539897217</c:v>
                </c:pt>
                <c:pt idx="42">
                  <c:v>62.050928936601728</c:v>
                </c:pt>
                <c:pt idx="43">
                  <c:v>10.023319544673129</c:v>
                </c:pt>
                <c:pt idx="44">
                  <c:v>9.9232812634841299</c:v>
                </c:pt>
                <c:pt idx="45">
                  <c:v>61.950890655412728</c:v>
                </c:pt>
                <c:pt idx="46">
                  <c:v>62.050928936601728</c:v>
                </c:pt>
                <c:pt idx="48">
                  <c:v>1.9</c:v>
                </c:pt>
                <c:pt idx="49">
                  <c:v>52.215736235370656</c:v>
                </c:pt>
                <c:pt idx="50">
                  <c:v>52.215736235370656</c:v>
                </c:pt>
                <c:pt idx="51">
                  <c:v>1.8999999999999986</c:v>
                </c:pt>
                <c:pt idx="52">
                  <c:v>1.9</c:v>
                </c:pt>
                <c:pt idx="54">
                  <c:v>65.304311223035199</c:v>
                </c:pt>
                <c:pt idx="55">
                  <c:v>16.725337957293867</c:v>
                </c:pt>
                <c:pt idx="56">
                  <c:v>16.825376238482868</c:v>
                </c:pt>
                <c:pt idx="57">
                  <c:v>65.4043495042242</c:v>
                </c:pt>
                <c:pt idx="58">
                  <c:v>65.304311223035199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F9-4A0C-BC3D-7588B22E137F}"/>
            </c:ext>
          </c:extLst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Path!$F$25:$F$150</c:f>
              <c:numCache>
                <c:formatCode>0.0</c:formatCode>
                <c:ptCount val="126"/>
                <c:pt idx="0">
                  <c:v>35.138614221801454</c:v>
                </c:pt>
                <c:pt idx="1">
                  <c:v>42.164457142274486</c:v>
                </c:pt>
                <c:pt idx="3">
                  <c:v>37.771078338167129</c:v>
                </c:pt>
                <c:pt idx="4">
                  <c:v>44.796921258640154</c:v>
                </c:pt>
                <c:pt idx="6">
                  <c:v>46.516901586857927</c:v>
                </c:pt>
                <c:pt idx="7">
                  <c:v>39.466516702323304</c:v>
                </c:pt>
                <c:pt idx="9">
                  <c:v>46.516901586857927</c:v>
                </c:pt>
                <c:pt idx="10">
                  <c:v>39.86927603510771</c:v>
                </c:pt>
                <c:pt idx="12">
                  <c:v>46.516901586857927</c:v>
                </c:pt>
                <c:pt idx="13">
                  <c:v>43.561975699282243</c:v>
                </c:pt>
                <c:pt idx="15">
                  <c:v>46.516901586857927</c:v>
                </c:pt>
                <c:pt idx="16">
                  <c:v>46.851916030672363</c:v>
                </c:pt>
                <c:pt idx="18">
                  <c:v>47.712724459317201</c:v>
                </c:pt>
                <c:pt idx="19">
                  <c:v>48.051916030672366</c:v>
                </c:pt>
                <c:pt idx="21">
                  <c:v>47.712724459317201</c:v>
                </c:pt>
                <c:pt idx="22">
                  <c:v>52.093061387012696</c:v>
                </c:pt>
                <c:pt idx="24">
                  <c:v>47.712724459317201</c:v>
                </c:pt>
                <c:pt idx="25">
                  <c:v>56.134206743353026</c:v>
                </c:pt>
                <c:pt idx="27">
                  <c:v>47.712724459317201</c:v>
                </c:pt>
                <c:pt idx="28">
                  <c:v>56.134206743353026</c:v>
                </c:pt>
                <c:pt idx="30">
                  <c:v>56.134206743353026</c:v>
                </c:pt>
                <c:pt idx="31">
                  <c:v>44.224658426512995</c:v>
                </c:pt>
                <c:pt idx="33">
                  <c:v>56.134206743353026</c:v>
                </c:pt>
                <c:pt idx="34">
                  <c:v>43.792469220623374</c:v>
                </c:pt>
                <c:pt idx="36">
                  <c:v>56.134206743353026</c:v>
                </c:pt>
                <c:pt idx="37">
                  <c:v>49.975687317475561</c:v>
                </c:pt>
                <c:pt idx="39">
                  <c:v>56.134206743353026</c:v>
                </c:pt>
                <c:pt idx="40">
                  <c:v>56.591094620217362</c:v>
                </c:pt>
                <c:pt idx="42">
                  <c:v>57.334206743353029</c:v>
                </c:pt>
                <c:pt idx="43">
                  <c:v>57.795301032290972</c:v>
                </c:pt>
                <c:pt idx="45">
                  <c:v>57.334206743353029</c:v>
                </c:pt>
                <c:pt idx="46">
                  <c:v>62.875465870541476</c:v>
                </c:pt>
                <c:pt idx="48">
                  <c:v>57.334206743353029</c:v>
                </c:pt>
                <c:pt idx="49">
                  <c:v>68.432865474477069</c:v>
                </c:pt>
                <c:pt idx="51">
                  <c:v>57.334206743353029</c:v>
                </c:pt>
                <c:pt idx="52">
                  <c:v>68.910100240162151</c:v>
                </c:pt>
                <c:pt idx="54">
                  <c:v>71.919536260218237</c:v>
                </c:pt>
                <c:pt idx="55">
                  <c:v>57.334206743353029</c:v>
                </c:pt>
                <c:pt idx="57">
                  <c:v>71.919536260218237</c:v>
                </c:pt>
                <c:pt idx="58">
                  <c:v>57.334206743353029</c:v>
                </c:pt>
                <c:pt idx="60">
                  <c:v>71.919536260218237</c:v>
                </c:pt>
                <c:pt idx="61">
                  <c:v>64.936389651967446</c:v>
                </c:pt>
                <c:pt idx="63">
                  <c:v>71.919536260218237</c:v>
                </c:pt>
                <c:pt idx="64">
                  <c:v>72.538572560581855</c:v>
                </c:pt>
                <c:pt idx="66">
                  <c:v>73.115359132677511</c:v>
                </c:pt>
                <c:pt idx="67">
                  <c:v>73.738572560581844</c:v>
                </c:pt>
                <c:pt idx="69">
                  <c:v>73.115359132677511</c:v>
                </c:pt>
                <c:pt idx="70">
                  <c:v>81.639286280290918</c:v>
                </c:pt>
                <c:pt idx="72">
                  <c:v>73.115359132677511</c:v>
                </c:pt>
                <c:pt idx="73">
                  <c:v>89.539999999999992</c:v>
                </c:pt>
                <c:pt idx="75">
                  <c:v>73.115359132677511</c:v>
                </c:pt>
                <c:pt idx="76">
                  <c:v>89.539999999999992</c:v>
                </c:pt>
                <c:pt idx="78">
                  <c:v>69.05141530006226</c:v>
                </c:pt>
                <c:pt idx="79">
                  <c:v>89.539999999999992</c:v>
                </c:pt>
                <c:pt idx="81">
                  <c:v>69.05141530006226</c:v>
                </c:pt>
                <c:pt idx="82">
                  <c:v>89.539999999999992</c:v>
                </c:pt>
                <c:pt idx="84">
                  <c:v>69.05141530006226</c:v>
                </c:pt>
                <c:pt idx="85">
                  <c:v>78.79181209524468</c:v>
                </c:pt>
                <c:pt idx="87">
                  <c:v>69.05141530006226</c:v>
                </c:pt>
                <c:pt idx="88">
                  <c:v>68.043624190489368</c:v>
                </c:pt>
                <c:pt idx="90">
                  <c:v>33.145189725885267</c:v>
                </c:pt>
                <c:pt idx="91">
                  <c:v>32.011974619846299</c:v>
                </c:pt>
                <c:pt idx="93">
                  <c:v>33.145189725885267</c:v>
                </c:pt>
                <c:pt idx="94">
                  <c:v>16.955987309923149</c:v>
                </c:pt>
                <c:pt idx="96">
                  <c:v>33.145189725885267</c:v>
                </c:pt>
                <c:pt idx="97">
                  <c:v>1.9</c:v>
                </c:pt>
                <c:pt idx="99">
                  <c:v>33.145189725885267</c:v>
                </c:pt>
                <c:pt idx="100">
                  <c:v>1.9</c:v>
                </c:pt>
                <c:pt idx="102">
                  <c:v>33.601404400218584</c:v>
                </c:pt>
                <c:pt idx="103">
                  <c:v>1.9</c:v>
                </c:pt>
                <c:pt idx="105">
                  <c:v>35.877692123439942</c:v>
                </c:pt>
                <c:pt idx="106">
                  <c:v>1.9</c:v>
                </c:pt>
                <c:pt idx="108">
                  <c:v>38.238464629784694</c:v>
                </c:pt>
                <c:pt idx="109">
                  <c:v>1.9</c:v>
                </c:pt>
                <c:pt idx="111">
                  <c:v>38.308556891474808</c:v>
                </c:pt>
                <c:pt idx="112">
                  <c:v>1.9</c:v>
                </c:pt>
              </c:numCache>
            </c:numRef>
          </c:xVal>
          <c:yVal>
            <c:numRef>
              <c:f>Path!$G$25:$G$150</c:f>
              <c:numCache>
                <c:formatCode>0.0</c:formatCode>
                <c:ptCount val="126"/>
                <c:pt idx="0">
                  <c:v>61.363133667437943</c:v>
                </c:pt>
                <c:pt idx="1">
                  <c:v>61.950890655412728</c:v>
                </c:pt>
                <c:pt idx="3">
                  <c:v>29.89557181148183</c:v>
                </c:pt>
                <c:pt idx="4">
                  <c:v>30.483328799456672</c:v>
                </c:pt>
                <c:pt idx="6">
                  <c:v>9.9232812634841299</c:v>
                </c:pt>
                <c:pt idx="7">
                  <c:v>9.6288903910713604</c:v>
                </c:pt>
                <c:pt idx="9">
                  <c:v>9.9232812634841299</c:v>
                </c:pt>
                <c:pt idx="10">
                  <c:v>5.7644451955356804</c:v>
                </c:pt>
                <c:pt idx="12">
                  <c:v>9.9232812634841299</c:v>
                </c:pt>
                <c:pt idx="13">
                  <c:v>1.9</c:v>
                </c:pt>
                <c:pt idx="15">
                  <c:v>9.9232812634841299</c:v>
                </c:pt>
                <c:pt idx="16">
                  <c:v>1.8999999999999986</c:v>
                </c:pt>
                <c:pt idx="18">
                  <c:v>10.023319544673129</c:v>
                </c:pt>
                <c:pt idx="19">
                  <c:v>1.8999999999999986</c:v>
                </c:pt>
                <c:pt idx="21">
                  <c:v>10.023319544673129</c:v>
                </c:pt>
                <c:pt idx="22">
                  <c:v>1.8999999999999986</c:v>
                </c:pt>
                <c:pt idx="24">
                  <c:v>10.023319544673129</c:v>
                </c:pt>
                <c:pt idx="25">
                  <c:v>6.1374804939856933</c:v>
                </c:pt>
                <c:pt idx="27">
                  <c:v>10.023319544673129</c:v>
                </c:pt>
                <c:pt idx="28">
                  <c:v>10.374960987971386</c:v>
                </c:pt>
                <c:pt idx="30">
                  <c:v>52.215736235370656</c:v>
                </c:pt>
                <c:pt idx="31">
                  <c:v>51.718449579896401</c:v>
                </c:pt>
                <c:pt idx="33">
                  <c:v>52.215736235370656</c:v>
                </c:pt>
                <c:pt idx="34">
                  <c:v>56.884689258249068</c:v>
                </c:pt>
                <c:pt idx="36">
                  <c:v>52.215736235370656</c:v>
                </c:pt>
                <c:pt idx="37">
                  <c:v>62.604350343043329</c:v>
                </c:pt>
                <c:pt idx="39">
                  <c:v>52.215736235370656</c:v>
                </c:pt>
                <c:pt idx="40">
                  <c:v>63.15777174948493</c:v>
                </c:pt>
                <c:pt idx="42">
                  <c:v>52.215736235370656</c:v>
                </c:pt>
                <c:pt idx="43">
                  <c:v>63.258511367730293</c:v>
                </c:pt>
                <c:pt idx="45">
                  <c:v>52.215736235370656</c:v>
                </c:pt>
                <c:pt idx="46">
                  <c:v>63.683499859153109</c:v>
                </c:pt>
                <c:pt idx="48">
                  <c:v>52.215736235370656</c:v>
                </c:pt>
                <c:pt idx="49">
                  <c:v>58.403789693660869</c:v>
                </c:pt>
                <c:pt idx="51">
                  <c:v>52.215736235370656</c:v>
                </c:pt>
                <c:pt idx="52">
                  <c:v>52.699091036745813</c:v>
                </c:pt>
                <c:pt idx="54">
                  <c:v>16.725337957293867</c:v>
                </c:pt>
                <c:pt idx="55">
                  <c:v>16.116323279199289</c:v>
                </c:pt>
                <c:pt idx="57">
                  <c:v>16.725337957293867</c:v>
                </c:pt>
                <c:pt idx="58">
                  <c:v>9.0081616395996438</c:v>
                </c:pt>
                <c:pt idx="60">
                  <c:v>16.725337957293867</c:v>
                </c:pt>
                <c:pt idx="61">
                  <c:v>1.8999999999999986</c:v>
                </c:pt>
                <c:pt idx="63">
                  <c:v>16.725337957293867</c:v>
                </c:pt>
                <c:pt idx="64">
                  <c:v>1.8999999999999986</c:v>
                </c:pt>
                <c:pt idx="66">
                  <c:v>16.825376238482868</c:v>
                </c:pt>
                <c:pt idx="67">
                  <c:v>1.9</c:v>
                </c:pt>
                <c:pt idx="69">
                  <c:v>16.825376238482868</c:v>
                </c:pt>
                <c:pt idx="70">
                  <c:v>1.9</c:v>
                </c:pt>
                <c:pt idx="72">
                  <c:v>16.825376238482868</c:v>
                </c:pt>
                <c:pt idx="73">
                  <c:v>9.7055959486142545</c:v>
                </c:pt>
                <c:pt idx="75">
                  <c:v>16.825376238482868</c:v>
                </c:pt>
                <c:pt idx="76">
                  <c:v>17.51119189722851</c:v>
                </c:pt>
                <c:pt idx="78">
                  <c:v>65.4043495042242</c:v>
                </c:pt>
                <c:pt idx="79">
                  <c:v>66.259856320248986</c:v>
                </c:pt>
                <c:pt idx="81">
                  <c:v>65.4043495042242</c:v>
                </c:pt>
                <c:pt idx="82">
                  <c:v>77.899928160124489</c:v>
                </c:pt>
                <c:pt idx="84">
                  <c:v>65.4043495042242</c:v>
                </c:pt>
                <c:pt idx="85">
                  <c:v>89.539999999999992</c:v>
                </c:pt>
                <c:pt idx="87">
                  <c:v>65.4043495042242</c:v>
                </c:pt>
                <c:pt idx="88">
                  <c:v>89.539999999999992</c:v>
                </c:pt>
                <c:pt idx="90">
                  <c:v>62.400562594681304</c:v>
                </c:pt>
                <c:pt idx="91">
                  <c:v>89.539999999999992</c:v>
                </c:pt>
                <c:pt idx="93">
                  <c:v>62.400562594681304</c:v>
                </c:pt>
                <c:pt idx="94">
                  <c:v>89.539999999999992</c:v>
                </c:pt>
                <c:pt idx="96">
                  <c:v>62.400562594681304</c:v>
                </c:pt>
                <c:pt idx="97">
                  <c:v>75.317955302891562</c:v>
                </c:pt>
                <c:pt idx="99">
                  <c:v>62.400562594681304</c:v>
                </c:pt>
                <c:pt idx="100">
                  <c:v>61.095910605783125</c:v>
                </c:pt>
                <c:pt idx="102">
                  <c:v>56.947130810016368</c:v>
                </c:pt>
                <c:pt idx="103">
                  <c:v>55.623429444639584</c:v>
                </c:pt>
                <c:pt idx="105">
                  <c:v>29.737177866265956</c:v>
                </c:pt>
                <c:pt idx="106">
                  <c:v>28.318429444639591</c:v>
                </c:pt>
                <c:pt idx="108">
                  <c:v>1.5173231645791248</c:v>
                </c:pt>
                <c:pt idx="109">
                  <c:v>0</c:v>
                </c:pt>
                <c:pt idx="111">
                  <c:v>0.67946460968160594</c:v>
                </c:pt>
                <c:pt idx="112">
                  <c:v>-0.84078527768019651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F9-4A0C-BC3D-7588B22E137F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Panels!$U$20:$U$35</c:f>
              <c:numCache>
                <c:formatCode>0.0</c:formatCode>
                <c:ptCount val="16"/>
                <c:pt idx="0">
                  <c:v>38.153979846661301</c:v>
                </c:pt>
                <c:pt idx="1">
                  <c:v>35.877692123439942</c:v>
                </c:pt>
                <c:pt idx="2">
                  <c:v>9.8067604657069865</c:v>
                </c:pt>
                <c:pt idx="3">
                  <c:v>10.682095426110731</c:v>
                </c:pt>
                <c:pt idx="4">
                  <c:v>18.654247909172561</c:v>
                </c:pt>
                <c:pt idx="5">
                  <c:v>37.995169075273765</c:v>
                </c:pt>
                <c:pt idx="7">
                  <c:v>33.601404400218584</c:v>
                </c:pt>
                <c:pt idx="8">
                  <c:v>35.877692123439942</c:v>
                </c:pt>
                <c:pt idx="9">
                  <c:v>9.8067604657069865</c:v>
                </c:pt>
                <c:pt idx="10">
                  <c:v>8.9314255053032419</c:v>
                </c:pt>
                <c:pt idx="11">
                  <c:v>16.903577988365072</c:v>
                </c:pt>
                <c:pt idx="12">
                  <c:v>33.76021517160612</c:v>
                </c:pt>
                <c:pt idx="14">
                  <c:v>16.903577988365072</c:v>
                </c:pt>
                <c:pt idx="15">
                  <c:v>18.654247909172561</c:v>
                </c:pt>
              </c:numCache>
            </c:numRef>
          </c:xVal>
          <c:yVal>
            <c:numRef>
              <c:f>Panels!$V$20:$V$35</c:f>
              <c:numCache>
                <c:formatCode>0.0</c:formatCode>
                <c:ptCount val="16"/>
                <c:pt idx="0">
                  <c:v>2.5272249225155434</c:v>
                </c:pt>
                <c:pt idx="1">
                  <c:v>29.737177866265956</c:v>
                </c:pt>
                <c:pt idx="2">
                  <c:v>27.55617660587712</c:v>
                </c:pt>
                <c:pt idx="3">
                  <c:v>17.092726471858466</c:v>
                </c:pt>
                <c:pt idx="4">
                  <c:v>17.759648346451794</c:v>
                </c:pt>
                <c:pt idx="5">
                  <c:v>4.4255937325446446</c:v>
                </c:pt>
                <c:pt idx="7">
                  <c:v>56.947130810016368</c:v>
                </c:pt>
                <c:pt idx="8">
                  <c:v>29.737177866265956</c:v>
                </c:pt>
                <c:pt idx="9">
                  <c:v>27.55617660587712</c:v>
                </c:pt>
                <c:pt idx="10">
                  <c:v>38.01962673989577</c:v>
                </c:pt>
                <c:pt idx="11">
                  <c:v>38.686548614489098</c:v>
                </c:pt>
                <c:pt idx="12">
                  <c:v>55.048761999987263</c:v>
                </c:pt>
                <c:pt idx="14">
                  <c:v>38.686548614489098</c:v>
                </c:pt>
                <c:pt idx="15">
                  <c:v>17.759648346451794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F9-4A0C-BC3D-7588B22E137F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Path!$J$25:$J$150</c:f>
              <c:numCache>
                <c:formatCode>0.0</c:formatCode>
                <c:ptCount val="126"/>
                <c:pt idx="0">
                  <c:v>38.651535682037974</c:v>
                </c:pt>
                <c:pt idx="1">
                  <c:v>38.651535682037974</c:v>
                </c:pt>
                <c:pt idx="2">
                  <c:v>38.651535682037974</c:v>
                </c:pt>
                <c:pt idx="3">
                  <c:v>41.283999798403642</c:v>
                </c:pt>
                <c:pt idx="4">
                  <c:v>41.283999798403642</c:v>
                </c:pt>
                <c:pt idx="5">
                  <c:v>41.283999798403642</c:v>
                </c:pt>
                <c:pt idx="6">
                  <c:v>42.991709144590615</c:v>
                </c:pt>
                <c:pt idx="7">
                  <c:v>42.991709144590615</c:v>
                </c:pt>
                <c:pt idx="8">
                  <c:v>42.991709144590615</c:v>
                </c:pt>
                <c:pt idx="9">
                  <c:v>43.193088810982815</c:v>
                </c:pt>
                <c:pt idx="10">
                  <c:v>43.193088810982815</c:v>
                </c:pt>
                <c:pt idx="11">
                  <c:v>43.193088810982815</c:v>
                </c:pt>
                <c:pt idx="12">
                  <c:v>45.039438643070085</c:v>
                </c:pt>
                <c:pt idx="13">
                  <c:v>45.039438643070085</c:v>
                </c:pt>
                <c:pt idx="14">
                  <c:v>45.039438643070085</c:v>
                </c:pt>
                <c:pt idx="15">
                  <c:v>46.684408808765141</c:v>
                </c:pt>
                <c:pt idx="16">
                  <c:v>46.684408808765141</c:v>
                </c:pt>
                <c:pt idx="17">
                  <c:v>46.684408808765141</c:v>
                </c:pt>
                <c:pt idx="18">
                  <c:v>47.882320244994787</c:v>
                </c:pt>
                <c:pt idx="19">
                  <c:v>47.882320244994787</c:v>
                </c:pt>
                <c:pt idx="20">
                  <c:v>47.882320244994787</c:v>
                </c:pt>
                <c:pt idx="21">
                  <c:v>49.902892923164949</c:v>
                </c:pt>
                <c:pt idx="22">
                  <c:v>49.902892923164949</c:v>
                </c:pt>
                <c:pt idx="23">
                  <c:v>49.902892923164949</c:v>
                </c:pt>
                <c:pt idx="24">
                  <c:v>51.92346560133511</c:v>
                </c:pt>
                <c:pt idx="25">
                  <c:v>51.92346560133511</c:v>
                </c:pt>
                <c:pt idx="26">
                  <c:v>51.92346560133511</c:v>
                </c:pt>
                <c:pt idx="27">
                  <c:v>51.92346560133511</c:v>
                </c:pt>
                <c:pt idx="28">
                  <c:v>51.92346560133511</c:v>
                </c:pt>
                <c:pt idx="29">
                  <c:v>51.92346560133511</c:v>
                </c:pt>
                <c:pt idx="30">
                  <c:v>50.179432584933011</c:v>
                </c:pt>
                <c:pt idx="31">
                  <c:v>50.179432584933011</c:v>
                </c:pt>
                <c:pt idx="32">
                  <c:v>50.179432584933011</c:v>
                </c:pt>
                <c:pt idx="33">
                  <c:v>49.963337981988204</c:v>
                </c:pt>
                <c:pt idx="34">
                  <c:v>49.963337981988204</c:v>
                </c:pt>
                <c:pt idx="35">
                  <c:v>49.963337981988204</c:v>
                </c:pt>
                <c:pt idx="36">
                  <c:v>53.054947030414297</c:v>
                </c:pt>
                <c:pt idx="37">
                  <c:v>53.054947030414297</c:v>
                </c:pt>
                <c:pt idx="38">
                  <c:v>53.054947030414297</c:v>
                </c:pt>
                <c:pt idx="39">
                  <c:v>56.362650681785198</c:v>
                </c:pt>
                <c:pt idx="40">
                  <c:v>56.362650681785198</c:v>
                </c:pt>
                <c:pt idx="41">
                  <c:v>56.362650681785198</c:v>
                </c:pt>
                <c:pt idx="42">
                  <c:v>57.564753887822</c:v>
                </c:pt>
                <c:pt idx="43">
                  <c:v>57.564753887822</c:v>
                </c:pt>
                <c:pt idx="44">
                  <c:v>57.564753887822</c:v>
                </c:pt>
                <c:pt idx="45">
                  <c:v>60.104836306947249</c:v>
                </c:pt>
                <c:pt idx="46">
                  <c:v>60.104836306947249</c:v>
                </c:pt>
                <c:pt idx="47">
                  <c:v>60.104836306947249</c:v>
                </c:pt>
                <c:pt idx="48">
                  <c:v>62.883536108915052</c:v>
                </c:pt>
                <c:pt idx="49">
                  <c:v>62.883536108915052</c:v>
                </c:pt>
                <c:pt idx="50">
                  <c:v>62.883536108915052</c:v>
                </c:pt>
                <c:pt idx="51">
                  <c:v>63.122153491757587</c:v>
                </c:pt>
                <c:pt idx="52">
                  <c:v>63.122153491757587</c:v>
                </c:pt>
                <c:pt idx="53">
                  <c:v>63.122153491757587</c:v>
                </c:pt>
                <c:pt idx="54">
                  <c:v>64.626871501785629</c:v>
                </c:pt>
                <c:pt idx="55">
                  <c:v>64.626871501785629</c:v>
                </c:pt>
                <c:pt idx="56">
                  <c:v>64.626871501785629</c:v>
                </c:pt>
                <c:pt idx="57">
                  <c:v>64.626871501785629</c:v>
                </c:pt>
                <c:pt idx="58">
                  <c:v>64.626871501785629</c:v>
                </c:pt>
                <c:pt idx="59">
                  <c:v>64.626871501785629</c:v>
                </c:pt>
                <c:pt idx="60">
                  <c:v>68.427962956092841</c:v>
                </c:pt>
                <c:pt idx="61">
                  <c:v>68.427962956092841</c:v>
                </c:pt>
                <c:pt idx="62">
                  <c:v>68.427962956092841</c:v>
                </c:pt>
                <c:pt idx="63">
                  <c:v>72.229054410400039</c:v>
                </c:pt>
                <c:pt idx="64">
                  <c:v>72.229054410400039</c:v>
                </c:pt>
                <c:pt idx="65">
                  <c:v>72.229054410400039</c:v>
                </c:pt>
                <c:pt idx="66">
                  <c:v>73.426965846629685</c:v>
                </c:pt>
                <c:pt idx="67">
                  <c:v>73.426965846629685</c:v>
                </c:pt>
                <c:pt idx="68">
                  <c:v>73.426965846629685</c:v>
                </c:pt>
                <c:pt idx="69">
                  <c:v>77.377322706484222</c:v>
                </c:pt>
                <c:pt idx="70">
                  <c:v>77.377322706484222</c:v>
                </c:pt>
                <c:pt idx="71">
                  <c:v>77.377322706484222</c:v>
                </c:pt>
                <c:pt idx="72">
                  <c:v>81.327679566338759</c:v>
                </c:pt>
                <c:pt idx="73">
                  <c:v>81.327679566338759</c:v>
                </c:pt>
                <c:pt idx="74">
                  <c:v>81.327679566338759</c:v>
                </c:pt>
                <c:pt idx="75">
                  <c:v>81.327679566338759</c:v>
                </c:pt>
                <c:pt idx="76">
                  <c:v>81.327679566338759</c:v>
                </c:pt>
                <c:pt idx="77">
                  <c:v>81.327679566338759</c:v>
                </c:pt>
                <c:pt idx="78">
                  <c:v>79.295707650031119</c:v>
                </c:pt>
                <c:pt idx="79">
                  <c:v>79.295707650031119</c:v>
                </c:pt>
                <c:pt idx="80">
                  <c:v>79.295707650031119</c:v>
                </c:pt>
                <c:pt idx="81">
                  <c:v>79.295707650031119</c:v>
                </c:pt>
                <c:pt idx="82">
                  <c:v>79.295707650031119</c:v>
                </c:pt>
                <c:pt idx="83">
                  <c:v>79.295707650031119</c:v>
                </c:pt>
                <c:pt idx="84">
                  <c:v>73.92161369765347</c:v>
                </c:pt>
                <c:pt idx="85">
                  <c:v>73.92161369765347</c:v>
                </c:pt>
                <c:pt idx="86">
                  <c:v>73.92161369765347</c:v>
                </c:pt>
                <c:pt idx="87">
                  <c:v>68.547519745275821</c:v>
                </c:pt>
                <c:pt idx="88">
                  <c:v>68.547519745275821</c:v>
                </c:pt>
                <c:pt idx="89">
                  <c:v>68.547519745275821</c:v>
                </c:pt>
                <c:pt idx="90">
                  <c:v>32.578582172865779</c:v>
                </c:pt>
                <c:pt idx="91">
                  <c:v>32.578582172865779</c:v>
                </c:pt>
                <c:pt idx="92">
                  <c:v>32.578582172865779</c:v>
                </c:pt>
                <c:pt idx="93">
                  <c:v>25.05058851790421</c:v>
                </c:pt>
                <c:pt idx="94">
                  <c:v>25.05058851790421</c:v>
                </c:pt>
                <c:pt idx="95">
                  <c:v>25.05058851790421</c:v>
                </c:pt>
                <c:pt idx="96">
                  <c:v>17.522594862942633</c:v>
                </c:pt>
                <c:pt idx="97">
                  <c:v>17.522594862942633</c:v>
                </c:pt>
                <c:pt idx="98">
                  <c:v>17.522594862942633</c:v>
                </c:pt>
                <c:pt idx="99">
                  <c:v>17.522594862942633</c:v>
                </c:pt>
                <c:pt idx="100">
                  <c:v>17.522594862942633</c:v>
                </c:pt>
                <c:pt idx="101">
                  <c:v>17.522594862942633</c:v>
                </c:pt>
                <c:pt idx="102">
                  <c:v>17.750702200109291</c:v>
                </c:pt>
                <c:pt idx="103">
                  <c:v>17.750702200109291</c:v>
                </c:pt>
                <c:pt idx="104">
                  <c:v>17.750702200109291</c:v>
                </c:pt>
                <c:pt idx="105">
                  <c:v>18.88884606171997</c:v>
                </c:pt>
                <c:pt idx="106">
                  <c:v>18.88884606171997</c:v>
                </c:pt>
                <c:pt idx="107">
                  <c:v>18.88884606171997</c:v>
                </c:pt>
                <c:pt idx="108">
                  <c:v>20.069232314892346</c:v>
                </c:pt>
                <c:pt idx="109">
                  <c:v>20.069232314892346</c:v>
                </c:pt>
                <c:pt idx="110">
                  <c:v>20.069232314892346</c:v>
                </c:pt>
                <c:pt idx="111">
                  <c:v>20.104278445737403</c:v>
                </c:pt>
                <c:pt idx="112">
                  <c:v>20.104278445737403</c:v>
                </c:pt>
                <c:pt idx="113">
                  <c:v>20.104278445737403</c:v>
                </c:pt>
              </c:numCache>
            </c:numRef>
          </c:xVal>
          <c:yVal>
            <c:numRef>
              <c:f>Path!$K$25:$K$150</c:f>
              <c:numCache>
                <c:formatCode>0.0</c:formatCode>
                <c:ptCount val="126"/>
                <c:pt idx="0">
                  <c:v>61.657012161425335</c:v>
                </c:pt>
                <c:pt idx="1">
                  <c:v>61.657012161425335</c:v>
                </c:pt>
                <c:pt idx="2">
                  <c:v>61.657012161425335</c:v>
                </c:pt>
                <c:pt idx="3">
                  <c:v>30.189450305469251</c:v>
                </c:pt>
                <c:pt idx="4">
                  <c:v>30.189450305469251</c:v>
                </c:pt>
                <c:pt idx="5">
                  <c:v>30.189450305469251</c:v>
                </c:pt>
                <c:pt idx="6">
                  <c:v>9.7760858272777451</c:v>
                </c:pt>
                <c:pt idx="7">
                  <c:v>9.7760858272777451</c:v>
                </c:pt>
                <c:pt idx="8">
                  <c:v>9.7760858272777451</c:v>
                </c:pt>
                <c:pt idx="9">
                  <c:v>7.8438632295099051</c:v>
                </c:pt>
                <c:pt idx="10">
                  <c:v>7.8438632295099051</c:v>
                </c:pt>
                <c:pt idx="11">
                  <c:v>7.8438632295099051</c:v>
                </c:pt>
                <c:pt idx="12">
                  <c:v>5.9116406317420651</c:v>
                </c:pt>
                <c:pt idx="13">
                  <c:v>5.9116406317420651</c:v>
                </c:pt>
                <c:pt idx="14">
                  <c:v>5.9116406317420651</c:v>
                </c:pt>
                <c:pt idx="15">
                  <c:v>5.9116406317420642</c:v>
                </c:pt>
                <c:pt idx="16">
                  <c:v>5.9116406317420642</c:v>
                </c:pt>
                <c:pt idx="17">
                  <c:v>5.9116406317420642</c:v>
                </c:pt>
                <c:pt idx="18">
                  <c:v>5.9616597723365636</c:v>
                </c:pt>
                <c:pt idx="19">
                  <c:v>5.9616597723365636</c:v>
                </c:pt>
                <c:pt idx="20">
                  <c:v>5.9616597723365636</c:v>
                </c:pt>
                <c:pt idx="21">
                  <c:v>5.9616597723365636</c:v>
                </c:pt>
                <c:pt idx="22">
                  <c:v>5.9616597723365636</c:v>
                </c:pt>
                <c:pt idx="23">
                  <c:v>5.9616597723365636</c:v>
                </c:pt>
                <c:pt idx="24">
                  <c:v>8.0804000193294101</c:v>
                </c:pt>
                <c:pt idx="25">
                  <c:v>8.0804000193294101</c:v>
                </c:pt>
                <c:pt idx="26">
                  <c:v>8.0804000193294101</c:v>
                </c:pt>
                <c:pt idx="27">
                  <c:v>10.199140266322257</c:v>
                </c:pt>
                <c:pt idx="28">
                  <c:v>10.199140266322257</c:v>
                </c:pt>
                <c:pt idx="29">
                  <c:v>10.199140266322257</c:v>
                </c:pt>
                <c:pt idx="30">
                  <c:v>51.967092907633528</c:v>
                </c:pt>
                <c:pt idx="31">
                  <c:v>51.967092907633528</c:v>
                </c:pt>
                <c:pt idx="32">
                  <c:v>51.967092907633528</c:v>
                </c:pt>
                <c:pt idx="33">
                  <c:v>54.550212746809862</c:v>
                </c:pt>
                <c:pt idx="34">
                  <c:v>54.550212746809862</c:v>
                </c:pt>
                <c:pt idx="35">
                  <c:v>54.550212746809862</c:v>
                </c:pt>
                <c:pt idx="36">
                  <c:v>57.410043289206996</c:v>
                </c:pt>
                <c:pt idx="37">
                  <c:v>57.410043289206996</c:v>
                </c:pt>
                <c:pt idx="38">
                  <c:v>57.410043289206996</c:v>
                </c:pt>
                <c:pt idx="39">
                  <c:v>57.686753992427796</c:v>
                </c:pt>
                <c:pt idx="40">
                  <c:v>57.686753992427796</c:v>
                </c:pt>
                <c:pt idx="41">
                  <c:v>57.686753992427796</c:v>
                </c:pt>
                <c:pt idx="42">
                  <c:v>57.737123801550474</c:v>
                </c:pt>
                <c:pt idx="43">
                  <c:v>57.737123801550474</c:v>
                </c:pt>
                <c:pt idx="44">
                  <c:v>57.737123801550474</c:v>
                </c:pt>
                <c:pt idx="45">
                  <c:v>57.949618047261879</c:v>
                </c:pt>
                <c:pt idx="46">
                  <c:v>57.949618047261879</c:v>
                </c:pt>
                <c:pt idx="47">
                  <c:v>57.949618047261879</c:v>
                </c:pt>
                <c:pt idx="48">
                  <c:v>55.309762964515762</c:v>
                </c:pt>
                <c:pt idx="49">
                  <c:v>55.309762964515762</c:v>
                </c:pt>
                <c:pt idx="50">
                  <c:v>55.309762964515762</c:v>
                </c:pt>
                <c:pt idx="51">
                  <c:v>52.457413636058234</c:v>
                </c:pt>
                <c:pt idx="52">
                  <c:v>52.457413636058234</c:v>
                </c:pt>
                <c:pt idx="53">
                  <c:v>52.457413636058234</c:v>
                </c:pt>
                <c:pt idx="54">
                  <c:v>16.420830618246576</c:v>
                </c:pt>
                <c:pt idx="55">
                  <c:v>16.420830618246576</c:v>
                </c:pt>
                <c:pt idx="56">
                  <c:v>16.420830618246576</c:v>
                </c:pt>
                <c:pt idx="57">
                  <c:v>12.866749798446754</c:v>
                </c:pt>
                <c:pt idx="58">
                  <c:v>12.866749798446754</c:v>
                </c:pt>
                <c:pt idx="59">
                  <c:v>12.866749798446754</c:v>
                </c:pt>
                <c:pt idx="60">
                  <c:v>9.3126689786469328</c:v>
                </c:pt>
                <c:pt idx="61">
                  <c:v>9.3126689786469328</c:v>
                </c:pt>
                <c:pt idx="62">
                  <c:v>9.3126689786469328</c:v>
                </c:pt>
                <c:pt idx="63">
                  <c:v>9.3126689786469328</c:v>
                </c:pt>
                <c:pt idx="64">
                  <c:v>9.3126689786469328</c:v>
                </c:pt>
                <c:pt idx="65">
                  <c:v>9.3126689786469328</c:v>
                </c:pt>
                <c:pt idx="66">
                  <c:v>9.3626881192414331</c:v>
                </c:pt>
                <c:pt idx="67">
                  <c:v>9.3626881192414331</c:v>
                </c:pt>
                <c:pt idx="68">
                  <c:v>9.3626881192414331</c:v>
                </c:pt>
                <c:pt idx="69">
                  <c:v>9.3626881192414331</c:v>
                </c:pt>
                <c:pt idx="70">
                  <c:v>9.3626881192414331</c:v>
                </c:pt>
                <c:pt idx="71">
                  <c:v>9.3626881192414331</c:v>
                </c:pt>
                <c:pt idx="72">
                  <c:v>13.26548609354856</c:v>
                </c:pt>
                <c:pt idx="73">
                  <c:v>13.26548609354856</c:v>
                </c:pt>
                <c:pt idx="74">
                  <c:v>13.26548609354856</c:v>
                </c:pt>
                <c:pt idx="75">
                  <c:v>17.168284067855687</c:v>
                </c:pt>
                <c:pt idx="76">
                  <c:v>17.168284067855687</c:v>
                </c:pt>
                <c:pt idx="77">
                  <c:v>17.168284067855687</c:v>
                </c:pt>
                <c:pt idx="78">
                  <c:v>65.832102912236593</c:v>
                </c:pt>
                <c:pt idx="79">
                  <c:v>65.832102912236593</c:v>
                </c:pt>
                <c:pt idx="80">
                  <c:v>65.832102912236593</c:v>
                </c:pt>
                <c:pt idx="81">
                  <c:v>71.652138832174344</c:v>
                </c:pt>
                <c:pt idx="82">
                  <c:v>71.652138832174344</c:v>
                </c:pt>
                <c:pt idx="83">
                  <c:v>71.652138832174344</c:v>
                </c:pt>
                <c:pt idx="84">
                  <c:v>77.472174752112096</c:v>
                </c:pt>
                <c:pt idx="85">
                  <c:v>77.472174752112096</c:v>
                </c:pt>
                <c:pt idx="86">
                  <c:v>77.472174752112096</c:v>
                </c:pt>
                <c:pt idx="87">
                  <c:v>77.472174752112096</c:v>
                </c:pt>
                <c:pt idx="88">
                  <c:v>77.472174752112096</c:v>
                </c:pt>
                <c:pt idx="89">
                  <c:v>77.472174752112096</c:v>
                </c:pt>
                <c:pt idx="90">
                  <c:v>75.970281297340648</c:v>
                </c:pt>
                <c:pt idx="91">
                  <c:v>75.970281297340648</c:v>
                </c:pt>
                <c:pt idx="92">
                  <c:v>75.970281297340648</c:v>
                </c:pt>
                <c:pt idx="93">
                  <c:v>75.970281297340648</c:v>
                </c:pt>
                <c:pt idx="94">
                  <c:v>75.970281297340648</c:v>
                </c:pt>
                <c:pt idx="95">
                  <c:v>75.970281297340648</c:v>
                </c:pt>
                <c:pt idx="96">
                  <c:v>68.859258948786433</c:v>
                </c:pt>
                <c:pt idx="97">
                  <c:v>68.859258948786433</c:v>
                </c:pt>
                <c:pt idx="98">
                  <c:v>68.859258948786433</c:v>
                </c:pt>
                <c:pt idx="99">
                  <c:v>61.748236600232218</c:v>
                </c:pt>
                <c:pt idx="100">
                  <c:v>61.748236600232218</c:v>
                </c:pt>
                <c:pt idx="101">
                  <c:v>61.748236600232218</c:v>
                </c:pt>
                <c:pt idx="102">
                  <c:v>56.285280127327979</c:v>
                </c:pt>
                <c:pt idx="103">
                  <c:v>56.285280127327979</c:v>
                </c:pt>
                <c:pt idx="104">
                  <c:v>56.285280127327979</c:v>
                </c:pt>
                <c:pt idx="105">
                  <c:v>29.027803655452772</c:v>
                </c:pt>
                <c:pt idx="106">
                  <c:v>29.027803655452772</c:v>
                </c:pt>
                <c:pt idx="107">
                  <c:v>29.027803655452772</c:v>
                </c:pt>
                <c:pt idx="108">
                  <c:v>0.75866158228956238</c:v>
                </c:pt>
                <c:pt idx="109">
                  <c:v>0.75866158228956238</c:v>
                </c:pt>
                <c:pt idx="110">
                  <c:v>0.75866158228956238</c:v>
                </c:pt>
                <c:pt idx="111">
                  <c:v>-8.0660333999295286E-2</c:v>
                </c:pt>
                <c:pt idx="112">
                  <c:v>-8.0660333999295286E-2</c:v>
                </c:pt>
                <c:pt idx="113">
                  <c:v>-8.0660333999295286E-2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F9-4A0C-BC3D-7588B22E137F}"/>
            </c:ext>
          </c:extLst>
        </c:ser>
        <c:ser>
          <c:idx val="0"/>
          <c:order val="4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Panels!$S$39:$S$43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91.44</c:v>
                </c:pt>
              </c:numCache>
            </c:numRef>
          </c:xVal>
          <c:yVal>
            <c:numRef>
              <c:f>Panels!$T$39:$T$43</c:f>
              <c:numCache>
                <c:formatCode>0.0</c:formatCode>
                <c:ptCount val="5"/>
                <c:pt idx="0">
                  <c:v>-5</c:v>
                </c:pt>
                <c:pt idx="1">
                  <c:v>91.44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F9-4A0C-BC3D-7588B22E137F}"/>
            </c:ext>
          </c:extLst>
        </c:ser>
        <c:ser>
          <c:idx val="3"/>
          <c:order val="5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Guides!$F$6:$F$32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Guides!$G$6:$G$32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F9-4A0C-BC3D-7588B22E1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52288"/>
        <c:axId val="58254464"/>
      </c:scatterChart>
      <c:valAx>
        <c:axId val="582522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0.51342281879194629"/>
              <c:y val="0.935367919435602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crossAx val="58254464"/>
        <c:crosses val="autoZero"/>
        <c:crossBetween val="midCat"/>
      </c:valAx>
      <c:valAx>
        <c:axId val="58254464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</a:t>
                </a:r>
              </a:p>
            </c:rich>
          </c:tx>
          <c:layout>
            <c:manualLayout>
              <c:xMode val="edge"/>
              <c:yMode val="edge"/>
              <c:x val="1.7897091722595078E-2"/>
              <c:y val="0.45448576906610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crossAx val="58252288"/>
        <c:crosses val="autoZero"/>
        <c:crossBetween val="midCat"/>
      </c:valAx>
      <c:spPr>
        <a:noFill/>
        <a:ln w="12700">
          <a:noFill/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8259654282047E-2"/>
          <c:y val="4.8580794789014024E-2"/>
          <c:w val="0.8657718120805368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Panels!$F$6:$F$64</c:f>
              <c:numCache>
                <c:formatCode>0.0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1.9</c:v>
                </c:pt>
                <c:pt idx="3">
                  <c:v>1.9</c:v>
                </c:pt>
                <c:pt idx="4">
                  <c:v>0</c:v>
                </c:pt>
                <c:pt idx="6">
                  <c:v>91.44</c:v>
                </c:pt>
                <c:pt idx="7">
                  <c:v>91.44</c:v>
                </c:pt>
                <c:pt idx="8">
                  <c:v>89.539999999999992</c:v>
                </c:pt>
                <c:pt idx="9">
                  <c:v>89.539999999999992</c:v>
                </c:pt>
                <c:pt idx="10">
                  <c:v>91.44</c:v>
                </c:pt>
                <c:pt idx="12">
                  <c:v>91.44</c:v>
                </c:pt>
                <c:pt idx="13">
                  <c:v>0</c:v>
                </c:pt>
                <c:pt idx="14">
                  <c:v>0</c:v>
                </c:pt>
                <c:pt idx="15">
                  <c:v>91.44</c:v>
                </c:pt>
                <c:pt idx="16">
                  <c:v>91.44</c:v>
                </c:pt>
                <c:pt idx="18">
                  <c:v>40.272035367892116</c:v>
                </c:pt>
                <c:pt idx="19">
                  <c:v>89.539999999999992</c:v>
                </c:pt>
                <c:pt idx="20">
                  <c:v>89.539999999999992</c:v>
                </c:pt>
                <c:pt idx="21">
                  <c:v>40.272035367892116</c:v>
                </c:pt>
                <c:pt idx="22">
                  <c:v>40.272035367892116</c:v>
                </c:pt>
                <c:pt idx="24">
                  <c:v>1.9</c:v>
                </c:pt>
                <c:pt idx="25">
                  <c:v>89.539999999999992</c:v>
                </c:pt>
                <c:pt idx="26">
                  <c:v>89.539999999999992</c:v>
                </c:pt>
                <c:pt idx="27">
                  <c:v>1.9</c:v>
                </c:pt>
                <c:pt idx="28">
                  <c:v>1.9</c:v>
                </c:pt>
                <c:pt idx="30">
                  <c:v>40.272035367892116</c:v>
                </c:pt>
                <c:pt idx="31">
                  <c:v>35.038575940612454</c:v>
                </c:pt>
                <c:pt idx="32">
                  <c:v>33.145189725885267</c:v>
                </c:pt>
                <c:pt idx="33">
                  <c:v>38.378649153164929</c:v>
                </c:pt>
                <c:pt idx="34">
                  <c:v>40.272035367892116</c:v>
                </c:pt>
                <c:pt idx="36">
                  <c:v>35.038575940612454</c:v>
                </c:pt>
                <c:pt idx="37">
                  <c:v>35.138614221801454</c:v>
                </c:pt>
                <c:pt idx="38">
                  <c:v>67.955630708791986</c:v>
                </c:pt>
                <c:pt idx="39">
                  <c:v>67.855592427602986</c:v>
                </c:pt>
                <c:pt idx="40">
                  <c:v>35.038575940612454</c:v>
                </c:pt>
                <c:pt idx="42">
                  <c:v>43.36028001473376</c:v>
                </c:pt>
                <c:pt idx="43">
                  <c:v>47.712724459317201</c:v>
                </c:pt>
                <c:pt idx="44">
                  <c:v>46.516901586857927</c:v>
                </c:pt>
                <c:pt idx="45">
                  <c:v>42.164457142274486</c:v>
                </c:pt>
                <c:pt idx="46">
                  <c:v>43.36028001473376</c:v>
                </c:pt>
                <c:pt idx="48">
                  <c:v>56.134206743353026</c:v>
                </c:pt>
                <c:pt idx="49">
                  <c:v>56.134206743353026</c:v>
                </c:pt>
                <c:pt idx="50">
                  <c:v>57.334206743353029</c:v>
                </c:pt>
                <c:pt idx="51">
                  <c:v>57.334206743353029</c:v>
                </c:pt>
                <c:pt idx="52">
                  <c:v>56.134206743353026</c:v>
                </c:pt>
                <c:pt idx="54">
                  <c:v>67.855592427602986</c:v>
                </c:pt>
                <c:pt idx="55">
                  <c:v>71.919536260218237</c:v>
                </c:pt>
                <c:pt idx="56">
                  <c:v>73.115359132677511</c:v>
                </c:pt>
                <c:pt idx="57">
                  <c:v>69.05141530006226</c:v>
                </c:pt>
                <c:pt idx="58">
                  <c:v>67.855592427602986</c:v>
                </c:pt>
              </c:numCache>
            </c:numRef>
          </c:xVal>
          <c:yVal>
            <c:numRef>
              <c:f>Panels!$G$6:$G$64</c:f>
              <c:numCache>
                <c:formatCode>0.0</c:formatCode>
                <c:ptCount val="59"/>
                <c:pt idx="0">
                  <c:v>91.44</c:v>
                </c:pt>
                <c:pt idx="1">
                  <c:v>0</c:v>
                </c:pt>
                <c:pt idx="2">
                  <c:v>0</c:v>
                </c:pt>
                <c:pt idx="3">
                  <c:v>91.44</c:v>
                </c:pt>
                <c:pt idx="4">
                  <c:v>91.44</c:v>
                </c:pt>
                <c:pt idx="6">
                  <c:v>91.44</c:v>
                </c:pt>
                <c:pt idx="7">
                  <c:v>0</c:v>
                </c:pt>
                <c:pt idx="8">
                  <c:v>0</c:v>
                </c:pt>
                <c:pt idx="9">
                  <c:v>91.44</c:v>
                </c:pt>
                <c:pt idx="10">
                  <c:v>91.44</c:v>
                </c:pt>
                <c:pt idx="12">
                  <c:v>91.44</c:v>
                </c:pt>
                <c:pt idx="13">
                  <c:v>91.44</c:v>
                </c:pt>
                <c:pt idx="14">
                  <c:v>0</c:v>
                </c:pt>
                <c:pt idx="15">
                  <c:v>0</c:v>
                </c:pt>
                <c:pt idx="16">
                  <c:v>91.44</c:v>
                </c:pt>
                <c:pt idx="18">
                  <c:v>1.9</c:v>
                </c:pt>
                <c:pt idx="19">
                  <c:v>1.9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4">
                  <c:v>91.44</c:v>
                </c:pt>
                <c:pt idx="25">
                  <c:v>91.44</c:v>
                </c:pt>
                <c:pt idx="26">
                  <c:v>89.539999999999992</c:v>
                </c:pt>
                <c:pt idx="27">
                  <c:v>89.539999999999992</c:v>
                </c:pt>
                <c:pt idx="28">
                  <c:v>91.44</c:v>
                </c:pt>
                <c:pt idx="30">
                  <c:v>0</c:v>
                </c:pt>
                <c:pt idx="31">
                  <c:v>62.558956539897217</c:v>
                </c:pt>
                <c:pt idx="32">
                  <c:v>62.400562594681304</c:v>
                </c:pt>
                <c:pt idx="33">
                  <c:v>-0.15839394521591288</c:v>
                </c:pt>
                <c:pt idx="34">
                  <c:v>0</c:v>
                </c:pt>
                <c:pt idx="36">
                  <c:v>62.558956539897217</c:v>
                </c:pt>
                <c:pt idx="37">
                  <c:v>61.363133667437943</c:v>
                </c:pt>
                <c:pt idx="38">
                  <c:v>64.108488350575925</c:v>
                </c:pt>
                <c:pt idx="39">
                  <c:v>65.304311223035199</c:v>
                </c:pt>
                <c:pt idx="40">
                  <c:v>62.558956539897217</c:v>
                </c:pt>
                <c:pt idx="42">
                  <c:v>62.050928936601728</c:v>
                </c:pt>
                <c:pt idx="43">
                  <c:v>10.023319544673129</c:v>
                </c:pt>
                <c:pt idx="44">
                  <c:v>9.9232812634841299</c:v>
                </c:pt>
                <c:pt idx="45">
                  <c:v>61.950890655412728</c:v>
                </c:pt>
                <c:pt idx="46">
                  <c:v>62.050928936601728</c:v>
                </c:pt>
                <c:pt idx="48">
                  <c:v>1.9</c:v>
                </c:pt>
                <c:pt idx="49">
                  <c:v>52.215736235370656</c:v>
                </c:pt>
                <c:pt idx="50">
                  <c:v>52.215736235370656</c:v>
                </c:pt>
                <c:pt idx="51">
                  <c:v>1.8999999999999986</c:v>
                </c:pt>
                <c:pt idx="52">
                  <c:v>1.9</c:v>
                </c:pt>
                <c:pt idx="54">
                  <c:v>65.304311223035199</c:v>
                </c:pt>
                <c:pt idx="55">
                  <c:v>16.725337957293867</c:v>
                </c:pt>
                <c:pt idx="56">
                  <c:v>16.825376238482868</c:v>
                </c:pt>
                <c:pt idx="57">
                  <c:v>65.4043495042242</c:v>
                </c:pt>
                <c:pt idx="58">
                  <c:v>65.304311223035199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1E-4681-872D-F561D8AF9774}"/>
            </c:ext>
          </c:extLst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Path!$F$25:$F$150</c:f>
              <c:numCache>
                <c:formatCode>0.0</c:formatCode>
                <c:ptCount val="126"/>
                <c:pt idx="0">
                  <c:v>35.138614221801454</c:v>
                </c:pt>
                <c:pt idx="1">
                  <c:v>42.164457142274486</c:v>
                </c:pt>
                <c:pt idx="3">
                  <c:v>37.771078338167129</c:v>
                </c:pt>
                <c:pt idx="4">
                  <c:v>44.796921258640154</c:v>
                </c:pt>
                <c:pt idx="6">
                  <c:v>46.516901586857927</c:v>
                </c:pt>
                <c:pt idx="7">
                  <c:v>39.466516702323304</c:v>
                </c:pt>
                <c:pt idx="9">
                  <c:v>46.516901586857927</c:v>
                </c:pt>
                <c:pt idx="10">
                  <c:v>39.86927603510771</c:v>
                </c:pt>
                <c:pt idx="12">
                  <c:v>46.516901586857927</c:v>
                </c:pt>
                <c:pt idx="13">
                  <c:v>43.561975699282243</c:v>
                </c:pt>
                <c:pt idx="15">
                  <c:v>46.516901586857927</c:v>
                </c:pt>
                <c:pt idx="16">
                  <c:v>46.851916030672363</c:v>
                </c:pt>
                <c:pt idx="18">
                  <c:v>47.712724459317201</c:v>
                </c:pt>
                <c:pt idx="19">
                  <c:v>48.051916030672366</c:v>
                </c:pt>
                <c:pt idx="21">
                  <c:v>47.712724459317201</c:v>
                </c:pt>
                <c:pt idx="22">
                  <c:v>52.093061387012696</c:v>
                </c:pt>
                <c:pt idx="24">
                  <c:v>47.712724459317201</c:v>
                </c:pt>
                <c:pt idx="25">
                  <c:v>56.134206743353026</c:v>
                </c:pt>
                <c:pt idx="27">
                  <c:v>47.712724459317201</c:v>
                </c:pt>
                <c:pt idx="28">
                  <c:v>56.134206743353026</c:v>
                </c:pt>
                <c:pt idx="30">
                  <c:v>56.134206743353026</c:v>
                </c:pt>
                <c:pt idx="31">
                  <c:v>44.224658426512995</c:v>
                </c:pt>
                <c:pt idx="33">
                  <c:v>56.134206743353026</c:v>
                </c:pt>
                <c:pt idx="34">
                  <c:v>43.792469220623374</c:v>
                </c:pt>
                <c:pt idx="36">
                  <c:v>56.134206743353026</c:v>
                </c:pt>
                <c:pt idx="37">
                  <c:v>49.975687317475561</c:v>
                </c:pt>
                <c:pt idx="39">
                  <c:v>56.134206743353026</c:v>
                </c:pt>
                <c:pt idx="40">
                  <c:v>56.591094620217362</c:v>
                </c:pt>
                <c:pt idx="42">
                  <c:v>57.334206743353029</c:v>
                </c:pt>
                <c:pt idx="43">
                  <c:v>57.795301032290972</c:v>
                </c:pt>
                <c:pt idx="45">
                  <c:v>57.334206743353029</c:v>
                </c:pt>
                <c:pt idx="46">
                  <c:v>62.875465870541476</c:v>
                </c:pt>
                <c:pt idx="48">
                  <c:v>57.334206743353029</c:v>
                </c:pt>
                <c:pt idx="49">
                  <c:v>68.432865474477069</c:v>
                </c:pt>
                <c:pt idx="51">
                  <c:v>57.334206743353029</c:v>
                </c:pt>
                <c:pt idx="52">
                  <c:v>68.910100240162151</c:v>
                </c:pt>
                <c:pt idx="54">
                  <c:v>71.919536260218237</c:v>
                </c:pt>
                <c:pt idx="55">
                  <c:v>57.334206743353029</c:v>
                </c:pt>
                <c:pt idx="57">
                  <c:v>71.919536260218237</c:v>
                </c:pt>
                <c:pt idx="58">
                  <c:v>57.334206743353029</c:v>
                </c:pt>
                <c:pt idx="60">
                  <c:v>71.919536260218237</c:v>
                </c:pt>
                <c:pt idx="61">
                  <c:v>64.936389651967446</c:v>
                </c:pt>
                <c:pt idx="63">
                  <c:v>71.919536260218237</c:v>
                </c:pt>
                <c:pt idx="64">
                  <c:v>72.538572560581855</c:v>
                </c:pt>
                <c:pt idx="66">
                  <c:v>73.115359132677511</c:v>
                </c:pt>
                <c:pt idx="67">
                  <c:v>73.738572560581844</c:v>
                </c:pt>
                <c:pt idx="69">
                  <c:v>73.115359132677511</c:v>
                </c:pt>
                <c:pt idx="70">
                  <c:v>81.639286280290918</c:v>
                </c:pt>
                <c:pt idx="72">
                  <c:v>73.115359132677511</c:v>
                </c:pt>
                <c:pt idx="73">
                  <c:v>89.539999999999992</c:v>
                </c:pt>
                <c:pt idx="75">
                  <c:v>73.115359132677511</c:v>
                </c:pt>
                <c:pt idx="76">
                  <c:v>89.539999999999992</c:v>
                </c:pt>
                <c:pt idx="78">
                  <c:v>69.05141530006226</c:v>
                </c:pt>
                <c:pt idx="79">
                  <c:v>89.539999999999992</c:v>
                </c:pt>
                <c:pt idx="81">
                  <c:v>69.05141530006226</c:v>
                </c:pt>
                <c:pt idx="82">
                  <c:v>89.539999999999992</c:v>
                </c:pt>
                <c:pt idx="84">
                  <c:v>69.05141530006226</c:v>
                </c:pt>
                <c:pt idx="85">
                  <c:v>78.79181209524468</c:v>
                </c:pt>
                <c:pt idx="87">
                  <c:v>69.05141530006226</c:v>
                </c:pt>
                <c:pt idx="88">
                  <c:v>68.043624190489368</c:v>
                </c:pt>
                <c:pt idx="90">
                  <c:v>33.145189725885267</c:v>
                </c:pt>
                <c:pt idx="91">
                  <c:v>32.011974619846299</c:v>
                </c:pt>
                <c:pt idx="93">
                  <c:v>33.145189725885267</c:v>
                </c:pt>
                <c:pt idx="94">
                  <c:v>16.955987309923149</c:v>
                </c:pt>
                <c:pt idx="96">
                  <c:v>33.145189725885267</c:v>
                </c:pt>
                <c:pt idx="97">
                  <c:v>1.9</c:v>
                </c:pt>
                <c:pt idx="99">
                  <c:v>33.145189725885267</c:v>
                </c:pt>
                <c:pt idx="100">
                  <c:v>1.9</c:v>
                </c:pt>
                <c:pt idx="102">
                  <c:v>33.601404400218584</c:v>
                </c:pt>
                <c:pt idx="103">
                  <c:v>1.9</c:v>
                </c:pt>
                <c:pt idx="105">
                  <c:v>35.877692123439942</c:v>
                </c:pt>
                <c:pt idx="106">
                  <c:v>1.9</c:v>
                </c:pt>
                <c:pt idx="108">
                  <c:v>38.238464629784694</c:v>
                </c:pt>
                <c:pt idx="109">
                  <c:v>1.9</c:v>
                </c:pt>
                <c:pt idx="111">
                  <c:v>38.308556891474808</c:v>
                </c:pt>
                <c:pt idx="112">
                  <c:v>1.9</c:v>
                </c:pt>
              </c:numCache>
            </c:numRef>
          </c:xVal>
          <c:yVal>
            <c:numRef>
              <c:f>Path!$G$25:$G$150</c:f>
              <c:numCache>
                <c:formatCode>0.0</c:formatCode>
                <c:ptCount val="126"/>
                <c:pt idx="0">
                  <c:v>61.363133667437943</c:v>
                </c:pt>
                <c:pt idx="1">
                  <c:v>61.950890655412728</c:v>
                </c:pt>
                <c:pt idx="3">
                  <c:v>29.89557181148183</c:v>
                </c:pt>
                <c:pt idx="4">
                  <c:v>30.483328799456672</c:v>
                </c:pt>
                <c:pt idx="6">
                  <c:v>9.9232812634841299</c:v>
                </c:pt>
                <c:pt idx="7">
                  <c:v>9.6288903910713604</c:v>
                </c:pt>
                <c:pt idx="9">
                  <c:v>9.9232812634841299</c:v>
                </c:pt>
                <c:pt idx="10">
                  <c:v>5.7644451955356804</c:v>
                </c:pt>
                <c:pt idx="12">
                  <c:v>9.9232812634841299</c:v>
                </c:pt>
                <c:pt idx="13">
                  <c:v>1.9</c:v>
                </c:pt>
                <c:pt idx="15">
                  <c:v>9.9232812634841299</c:v>
                </c:pt>
                <c:pt idx="16">
                  <c:v>1.8999999999999986</c:v>
                </c:pt>
                <c:pt idx="18">
                  <c:v>10.023319544673129</c:v>
                </c:pt>
                <c:pt idx="19">
                  <c:v>1.8999999999999986</c:v>
                </c:pt>
                <c:pt idx="21">
                  <c:v>10.023319544673129</c:v>
                </c:pt>
                <c:pt idx="22">
                  <c:v>1.8999999999999986</c:v>
                </c:pt>
                <c:pt idx="24">
                  <c:v>10.023319544673129</c:v>
                </c:pt>
                <c:pt idx="25">
                  <c:v>6.1374804939856933</c:v>
                </c:pt>
                <c:pt idx="27">
                  <c:v>10.023319544673129</c:v>
                </c:pt>
                <c:pt idx="28">
                  <c:v>10.374960987971386</c:v>
                </c:pt>
                <c:pt idx="30">
                  <c:v>52.215736235370656</c:v>
                </c:pt>
                <c:pt idx="31">
                  <c:v>51.718449579896401</c:v>
                </c:pt>
                <c:pt idx="33">
                  <c:v>52.215736235370656</c:v>
                </c:pt>
                <c:pt idx="34">
                  <c:v>56.884689258249068</c:v>
                </c:pt>
                <c:pt idx="36">
                  <c:v>52.215736235370656</c:v>
                </c:pt>
                <c:pt idx="37">
                  <c:v>62.604350343043329</c:v>
                </c:pt>
                <c:pt idx="39">
                  <c:v>52.215736235370656</c:v>
                </c:pt>
                <c:pt idx="40">
                  <c:v>63.15777174948493</c:v>
                </c:pt>
                <c:pt idx="42">
                  <c:v>52.215736235370656</c:v>
                </c:pt>
                <c:pt idx="43">
                  <c:v>63.258511367730293</c:v>
                </c:pt>
                <c:pt idx="45">
                  <c:v>52.215736235370656</c:v>
                </c:pt>
                <c:pt idx="46">
                  <c:v>63.683499859153109</c:v>
                </c:pt>
                <c:pt idx="48">
                  <c:v>52.215736235370656</c:v>
                </c:pt>
                <c:pt idx="49">
                  <c:v>58.403789693660869</c:v>
                </c:pt>
                <c:pt idx="51">
                  <c:v>52.215736235370656</c:v>
                </c:pt>
                <c:pt idx="52">
                  <c:v>52.699091036745813</c:v>
                </c:pt>
                <c:pt idx="54">
                  <c:v>16.725337957293867</c:v>
                </c:pt>
                <c:pt idx="55">
                  <c:v>16.116323279199289</c:v>
                </c:pt>
                <c:pt idx="57">
                  <c:v>16.725337957293867</c:v>
                </c:pt>
                <c:pt idx="58">
                  <c:v>9.0081616395996438</c:v>
                </c:pt>
                <c:pt idx="60">
                  <c:v>16.725337957293867</c:v>
                </c:pt>
                <c:pt idx="61">
                  <c:v>1.8999999999999986</c:v>
                </c:pt>
                <c:pt idx="63">
                  <c:v>16.725337957293867</c:v>
                </c:pt>
                <c:pt idx="64">
                  <c:v>1.8999999999999986</c:v>
                </c:pt>
                <c:pt idx="66">
                  <c:v>16.825376238482868</c:v>
                </c:pt>
                <c:pt idx="67">
                  <c:v>1.9</c:v>
                </c:pt>
                <c:pt idx="69">
                  <c:v>16.825376238482868</c:v>
                </c:pt>
                <c:pt idx="70">
                  <c:v>1.9</c:v>
                </c:pt>
                <c:pt idx="72">
                  <c:v>16.825376238482868</c:v>
                </c:pt>
                <c:pt idx="73">
                  <c:v>9.7055959486142545</c:v>
                </c:pt>
                <c:pt idx="75">
                  <c:v>16.825376238482868</c:v>
                </c:pt>
                <c:pt idx="76">
                  <c:v>17.51119189722851</c:v>
                </c:pt>
                <c:pt idx="78">
                  <c:v>65.4043495042242</c:v>
                </c:pt>
                <c:pt idx="79">
                  <c:v>66.259856320248986</c:v>
                </c:pt>
                <c:pt idx="81">
                  <c:v>65.4043495042242</c:v>
                </c:pt>
                <c:pt idx="82">
                  <c:v>77.899928160124489</c:v>
                </c:pt>
                <c:pt idx="84">
                  <c:v>65.4043495042242</c:v>
                </c:pt>
                <c:pt idx="85">
                  <c:v>89.539999999999992</c:v>
                </c:pt>
                <c:pt idx="87">
                  <c:v>65.4043495042242</c:v>
                </c:pt>
                <c:pt idx="88">
                  <c:v>89.539999999999992</c:v>
                </c:pt>
                <c:pt idx="90">
                  <c:v>62.400562594681304</c:v>
                </c:pt>
                <c:pt idx="91">
                  <c:v>89.539999999999992</c:v>
                </c:pt>
                <c:pt idx="93">
                  <c:v>62.400562594681304</c:v>
                </c:pt>
                <c:pt idx="94">
                  <c:v>89.539999999999992</c:v>
                </c:pt>
                <c:pt idx="96">
                  <c:v>62.400562594681304</c:v>
                </c:pt>
                <c:pt idx="97">
                  <c:v>75.317955302891562</c:v>
                </c:pt>
                <c:pt idx="99">
                  <c:v>62.400562594681304</c:v>
                </c:pt>
                <c:pt idx="100">
                  <c:v>61.095910605783125</c:v>
                </c:pt>
                <c:pt idx="102">
                  <c:v>56.947130810016368</c:v>
                </c:pt>
                <c:pt idx="103">
                  <c:v>55.623429444639584</c:v>
                </c:pt>
                <c:pt idx="105">
                  <c:v>29.737177866265956</c:v>
                </c:pt>
                <c:pt idx="106">
                  <c:v>28.318429444639591</c:v>
                </c:pt>
                <c:pt idx="108">
                  <c:v>1.5173231645791248</c:v>
                </c:pt>
                <c:pt idx="109">
                  <c:v>0</c:v>
                </c:pt>
                <c:pt idx="111">
                  <c:v>0.67946460968160594</c:v>
                </c:pt>
                <c:pt idx="112">
                  <c:v>-0.84078527768019651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1E-4681-872D-F561D8AF9774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Panels!$U$20:$U$35</c:f>
              <c:numCache>
                <c:formatCode>0.0</c:formatCode>
                <c:ptCount val="16"/>
                <c:pt idx="0">
                  <c:v>38.153979846661301</c:v>
                </c:pt>
                <c:pt idx="1">
                  <c:v>35.877692123439942</c:v>
                </c:pt>
                <c:pt idx="2">
                  <c:v>9.8067604657069865</c:v>
                </c:pt>
                <c:pt idx="3">
                  <c:v>10.682095426110731</c:v>
                </c:pt>
                <c:pt idx="4">
                  <c:v>18.654247909172561</c:v>
                </c:pt>
                <c:pt idx="5">
                  <c:v>37.995169075273765</c:v>
                </c:pt>
                <c:pt idx="7">
                  <c:v>33.601404400218584</c:v>
                </c:pt>
                <c:pt idx="8">
                  <c:v>35.877692123439942</c:v>
                </c:pt>
                <c:pt idx="9">
                  <c:v>9.8067604657069865</c:v>
                </c:pt>
                <c:pt idx="10">
                  <c:v>8.9314255053032419</c:v>
                </c:pt>
                <c:pt idx="11">
                  <c:v>16.903577988365072</c:v>
                </c:pt>
                <c:pt idx="12">
                  <c:v>33.76021517160612</c:v>
                </c:pt>
                <c:pt idx="14">
                  <c:v>16.903577988365072</c:v>
                </c:pt>
                <c:pt idx="15">
                  <c:v>18.654247909172561</c:v>
                </c:pt>
              </c:numCache>
            </c:numRef>
          </c:xVal>
          <c:yVal>
            <c:numRef>
              <c:f>Panels!$V$20:$V$35</c:f>
              <c:numCache>
                <c:formatCode>0.0</c:formatCode>
                <c:ptCount val="16"/>
                <c:pt idx="0">
                  <c:v>2.5272249225155434</c:v>
                </c:pt>
                <c:pt idx="1">
                  <c:v>29.737177866265956</c:v>
                </c:pt>
                <c:pt idx="2">
                  <c:v>27.55617660587712</c:v>
                </c:pt>
                <c:pt idx="3">
                  <c:v>17.092726471858466</c:v>
                </c:pt>
                <c:pt idx="4">
                  <c:v>17.759648346451794</c:v>
                </c:pt>
                <c:pt idx="5">
                  <c:v>4.4255937325446446</c:v>
                </c:pt>
                <c:pt idx="7">
                  <c:v>56.947130810016368</c:v>
                </c:pt>
                <c:pt idx="8">
                  <c:v>29.737177866265956</c:v>
                </c:pt>
                <c:pt idx="9">
                  <c:v>27.55617660587712</c:v>
                </c:pt>
                <c:pt idx="10">
                  <c:v>38.01962673989577</c:v>
                </c:pt>
                <c:pt idx="11">
                  <c:v>38.686548614489098</c:v>
                </c:pt>
                <c:pt idx="12">
                  <c:v>55.048761999987263</c:v>
                </c:pt>
                <c:pt idx="14">
                  <c:v>38.686548614489098</c:v>
                </c:pt>
                <c:pt idx="15">
                  <c:v>17.759648346451794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1E-4681-872D-F561D8AF9774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Path!$J$25:$J$150</c:f>
              <c:numCache>
                <c:formatCode>0.0</c:formatCode>
                <c:ptCount val="126"/>
                <c:pt idx="0">
                  <c:v>38.651535682037974</c:v>
                </c:pt>
                <c:pt idx="1">
                  <c:v>38.651535682037974</c:v>
                </c:pt>
                <c:pt idx="2">
                  <c:v>38.651535682037974</c:v>
                </c:pt>
                <c:pt idx="3">
                  <c:v>41.283999798403642</c:v>
                </c:pt>
                <c:pt idx="4">
                  <c:v>41.283999798403642</c:v>
                </c:pt>
                <c:pt idx="5">
                  <c:v>41.283999798403642</c:v>
                </c:pt>
                <c:pt idx="6">
                  <c:v>42.991709144590615</c:v>
                </c:pt>
                <c:pt idx="7">
                  <c:v>42.991709144590615</c:v>
                </c:pt>
                <c:pt idx="8">
                  <c:v>42.991709144590615</c:v>
                </c:pt>
                <c:pt idx="9">
                  <c:v>43.193088810982815</c:v>
                </c:pt>
                <c:pt idx="10">
                  <c:v>43.193088810982815</c:v>
                </c:pt>
                <c:pt idx="11">
                  <c:v>43.193088810982815</c:v>
                </c:pt>
                <c:pt idx="12">
                  <c:v>45.039438643070085</c:v>
                </c:pt>
                <c:pt idx="13">
                  <c:v>45.039438643070085</c:v>
                </c:pt>
                <c:pt idx="14">
                  <c:v>45.039438643070085</c:v>
                </c:pt>
                <c:pt idx="15">
                  <c:v>46.684408808765141</c:v>
                </c:pt>
                <c:pt idx="16">
                  <c:v>46.684408808765141</c:v>
                </c:pt>
                <c:pt idx="17">
                  <c:v>46.684408808765141</c:v>
                </c:pt>
                <c:pt idx="18">
                  <c:v>47.882320244994787</c:v>
                </c:pt>
                <c:pt idx="19">
                  <c:v>47.882320244994787</c:v>
                </c:pt>
                <c:pt idx="20">
                  <c:v>47.882320244994787</c:v>
                </c:pt>
                <c:pt idx="21">
                  <c:v>49.902892923164949</c:v>
                </c:pt>
                <c:pt idx="22">
                  <c:v>49.902892923164949</c:v>
                </c:pt>
                <c:pt idx="23">
                  <c:v>49.902892923164949</c:v>
                </c:pt>
                <c:pt idx="24">
                  <c:v>51.92346560133511</c:v>
                </c:pt>
                <c:pt idx="25">
                  <c:v>51.92346560133511</c:v>
                </c:pt>
                <c:pt idx="26">
                  <c:v>51.92346560133511</c:v>
                </c:pt>
                <c:pt idx="27">
                  <c:v>51.92346560133511</c:v>
                </c:pt>
                <c:pt idx="28">
                  <c:v>51.92346560133511</c:v>
                </c:pt>
                <c:pt idx="29">
                  <c:v>51.92346560133511</c:v>
                </c:pt>
                <c:pt idx="30">
                  <c:v>50.179432584933011</c:v>
                </c:pt>
                <c:pt idx="31">
                  <c:v>50.179432584933011</c:v>
                </c:pt>
                <c:pt idx="32">
                  <c:v>50.179432584933011</c:v>
                </c:pt>
                <c:pt idx="33">
                  <c:v>49.963337981988204</c:v>
                </c:pt>
                <c:pt idx="34">
                  <c:v>49.963337981988204</c:v>
                </c:pt>
                <c:pt idx="35">
                  <c:v>49.963337981988204</c:v>
                </c:pt>
                <c:pt idx="36">
                  <c:v>53.054947030414297</c:v>
                </c:pt>
                <c:pt idx="37">
                  <c:v>53.054947030414297</c:v>
                </c:pt>
                <c:pt idx="38">
                  <c:v>53.054947030414297</c:v>
                </c:pt>
                <c:pt idx="39">
                  <c:v>56.362650681785198</c:v>
                </c:pt>
                <c:pt idx="40">
                  <c:v>56.362650681785198</c:v>
                </c:pt>
                <c:pt idx="41">
                  <c:v>56.362650681785198</c:v>
                </c:pt>
                <c:pt idx="42">
                  <c:v>57.564753887822</c:v>
                </c:pt>
                <c:pt idx="43">
                  <c:v>57.564753887822</c:v>
                </c:pt>
                <c:pt idx="44">
                  <c:v>57.564753887822</c:v>
                </c:pt>
                <c:pt idx="45">
                  <c:v>60.104836306947249</c:v>
                </c:pt>
                <c:pt idx="46">
                  <c:v>60.104836306947249</c:v>
                </c:pt>
                <c:pt idx="47">
                  <c:v>60.104836306947249</c:v>
                </c:pt>
                <c:pt idx="48">
                  <c:v>62.883536108915052</c:v>
                </c:pt>
                <c:pt idx="49">
                  <c:v>62.883536108915052</c:v>
                </c:pt>
                <c:pt idx="50">
                  <c:v>62.883536108915052</c:v>
                </c:pt>
                <c:pt idx="51">
                  <c:v>63.122153491757587</c:v>
                </c:pt>
                <c:pt idx="52">
                  <c:v>63.122153491757587</c:v>
                </c:pt>
                <c:pt idx="53">
                  <c:v>63.122153491757587</c:v>
                </c:pt>
                <c:pt idx="54">
                  <c:v>64.626871501785629</c:v>
                </c:pt>
                <c:pt idx="55">
                  <c:v>64.626871501785629</c:v>
                </c:pt>
                <c:pt idx="56">
                  <c:v>64.626871501785629</c:v>
                </c:pt>
                <c:pt idx="57">
                  <c:v>64.626871501785629</c:v>
                </c:pt>
                <c:pt idx="58">
                  <c:v>64.626871501785629</c:v>
                </c:pt>
                <c:pt idx="59">
                  <c:v>64.626871501785629</c:v>
                </c:pt>
                <c:pt idx="60">
                  <c:v>68.427962956092841</c:v>
                </c:pt>
                <c:pt idx="61">
                  <c:v>68.427962956092841</c:v>
                </c:pt>
                <c:pt idx="62">
                  <c:v>68.427962956092841</c:v>
                </c:pt>
                <c:pt idx="63">
                  <c:v>72.229054410400039</c:v>
                </c:pt>
                <c:pt idx="64">
                  <c:v>72.229054410400039</c:v>
                </c:pt>
                <c:pt idx="65">
                  <c:v>72.229054410400039</c:v>
                </c:pt>
                <c:pt idx="66">
                  <c:v>73.426965846629685</c:v>
                </c:pt>
                <c:pt idx="67">
                  <c:v>73.426965846629685</c:v>
                </c:pt>
                <c:pt idx="68">
                  <c:v>73.426965846629685</c:v>
                </c:pt>
                <c:pt idx="69">
                  <c:v>77.377322706484222</c:v>
                </c:pt>
                <c:pt idx="70">
                  <c:v>77.377322706484222</c:v>
                </c:pt>
                <c:pt idx="71">
                  <c:v>77.377322706484222</c:v>
                </c:pt>
                <c:pt idx="72">
                  <c:v>81.327679566338759</c:v>
                </c:pt>
                <c:pt idx="73">
                  <c:v>81.327679566338759</c:v>
                </c:pt>
                <c:pt idx="74">
                  <c:v>81.327679566338759</c:v>
                </c:pt>
                <c:pt idx="75">
                  <c:v>81.327679566338759</c:v>
                </c:pt>
                <c:pt idx="76">
                  <c:v>81.327679566338759</c:v>
                </c:pt>
                <c:pt idx="77">
                  <c:v>81.327679566338759</c:v>
                </c:pt>
                <c:pt idx="78">
                  <c:v>79.295707650031119</c:v>
                </c:pt>
                <c:pt idx="79">
                  <c:v>79.295707650031119</c:v>
                </c:pt>
                <c:pt idx="80">
                  <c:v>79.295707650031119</c:v>
                </c:pt>
                <c:pt idx="81">
                  <c:v>79.295707650031119</c:v>
                </c:pt>
                <c:pt idx="82">
                  <c:v>79.295707650031119</c:v>
                </c:pt>
                <c:pt idx="83">
                  <c:v>79.295707650031119</c:v>
                </c:pt>
                <c:pt idx="84">
                  <c:v>73.92161369765347</c:v>
                </c:pt>
                <c:pt idx="85">
                  <c:v>73.92161369765347</c:v>
                </c:pt>
                <c:pt idx="86">
                  <c:v>73.92161369765347</c:v>
                </c:pt>
                <c:pt idx="87">
                  <c:v>68.547519745275821</c:v>
                </c:pt>
                <c:pt idx="88">
                  <c:v>68.547519745275821</c:v>
                </c:pt>
                <c:pt idx="89">
                  <c:v>68.547519745275821</c:v>
                </c:pt>
                <c:pt idx="90">
                  <c:v>32.578582172865779</c:v>
                </c:pt>
                <c:pt idx="91">
                  <c:v>32.578582172865779</c:v>
                </c:pt>
                <c:pt idx="92">
                  <c:v>32.578582172865779</c:v>
                </c:pt>
                <c:pt idx="93">
                  <c:v>25.05058851790421</c:v>
                </c:pt>
                <c:pt idx="94">
                  <c:v>25.05058851790421</c:v>
                </c:pt>
                <c:pt idx="95">
                  <c:v>25.05058851790421</c:v>
                </c:pt>
                <c:pt idx="96">
                  <c:v>17.522594862942633</c:v>
                </c:pt>
                <c:pt idx="97">
                  <c:v>17.522594862942633</c:v>
                </c:pt>
                <c:pt idx="98">
                  <c:v>17.522594862942633</c:v>
                </c:pt>
                <c:pt idx="99">
                  <c:v>17.522594862942633</c:v>
                </c:pt>
                <c:pt idx="100">
                  <c:v>17.522594862942633</c:v>
                </c:pt>
                <c:pt idx="101">
                  <c:v>17.522594862942633</c:v>
                </c:pt>
                <c:pt idx="102">
                  <c:v>17.750702200109291</c:v>
                </c:pt>
                <c:pt idx="103">
                  <c:v>17.750702200109291</c:v>
                </c:pt>
                <c:pt idx="104">
                  <c:v>17.750702200109291</c:v>
                </c:pt>
                <c:pt idx="105">
                  <c:v>18.88884606171997</c:v>
                </c:pt>
                <c:pt idx="106">
                  <c:v>18.88884606171997</c:v>
                </c:pt>
                <c:pt idx="107">
                  <c:v>18.88884606171997</c:v>
                </c:pt>
                <c:pt idx="108">
                  <c:v>20.069232314892346</c:v>
                </c:pt>
                <c:pt idx="109">
                  <c:v>20.069232314892346</c:v>
                </c:pt>
                <c:pt idx="110">
                  <c:v>20.069232314892346</c:v>
                </c:pt>
                <c:pt idx="111">
                  <c:v>20.104278445737403</c:v>
                </c:pt>
                <c:pt idx="112">
                  <c:v>20.104278445737403</c:v>
                </c:pt>
                <c:pt idx="113">
                  <c:v>20.104278445737403</c:v>
                </c:pt>
              </c:numCache>
            </c:numRef>
          </c:xVal>
          <c:yVal>
            <c:numRef>
              <c:f>Path!$K$25:$K$150</c:f>
              <c:numCache>
                <c:formatCode>0.0</c:formatCode>
                <c:ptCount val="126"/>
                <c:pt idx="0">
                  <c:v>61.657012161425335</c:v>
                </c:pt>
                <c:pt idx="1">
                  <c:v>61.657012161425335</c:v>
                </c:pt>
                <c:pt idx="2">
                  <c:v>61.657012161425335</c:v>
                </c:pt>
                <c:pt idx="3">
                  <c:v>30.189450305469251</c:v>
                </c:pt>
                <c:pt idx="4">
                  <c:v>30.189450305469251</c:v>
                </c:pt>
                <c:pt idx="5">
                  <c:v>30.189450305469251</c:v>
                </c:pt>
                <c:pt idx="6">
                  <c:v>9.7760858272777451</c:v>
                </c:pt>
                <c:pt idx="7">
                  <c:v>9.7760858272777451</c:v>
                </c:pt>
                <c:pt idx="8">
                  <c:v>9.7760858272777451</c:v>
                </c:pt>
                <c:pt idx="9">
                  <c:v>7.8438632295099051</c:v>
                </c:pt>
                <c:pt idx="10">
                  <c:v>7.8438632295099051</c:v>
                </c:pt>
                <c:pt idx="11">
                  <c:v>7.8438632295099051</c:v>
                </c:pt>
                <c:pt idx="12">
                  <c:v>5.9116406317420651</c:v>
                </c:pt>
                <c:pt idx="13">
                  <c:v>5.9116406317420651</c:v>
                </c:pt>
                <c:pt idx="14">
                  <c:v>5.9116406317420651</c:v>
                </c:pt>
                <c:pt idx="15">
                  <c:v>5.9116406317420642</c:v>
                </c:pt>
                <c:pt idx="16">
                  <c:v>5.9116406317420642</c:v>
                </c:pt>
                <c:pt idx="17">
                  <c:v>5.9116406317420642</c:v>
                </c:pt>
                <c:pt idx="18">
                  <c:v>5.9616597723365636</c:v>
                </c:pt>
                <c:pt idx="19">
                  <c:v>5.9616597723365636</c:v>
                </c:pt>
                <c:pt idx="20">
                  <c:v>5.9616597723365636</c:v>
                </c:pt>
                <c:pt idx="21">
                  <c:v>5.9616597723365636</c:v>
                </c:pt>
                <c:pt idx="22">
                  <c:v>5.9616597723365636</c:v>
                </c:pt>
                <c:pt idx="23">
                  <c:v>5.9616597723365636</c:v>
                </c:pt>
                <c:pt idx="24">
                  <c:v>8.0804000193294101</c:v>
                </c:pt>
                <c:pt idx="25">
                  <c:v>8.0804000193294101</c:v>
                </c:pt>
                <c:pt idx="26">
                  <c:v>8.0804000193294101</c:v>
                </c:pt>
                <c:pt idx="27">
                  <c:v>10.199140266322257</c:v>
                </c:pt>
                <c:pt idx="28">
                  <c:v>10.199140266322257</c:v>
                </c:pt>
                <c:pt idx="29">
                  <c:v>10.199140266322257</c:v>
                </c:pt>
                <c:pt idx="30">
                  <c:v>51.967092907633528</c:v>
                </c:pt>
                <c:pt idx="31">
                  <c:v>51.967092907633528</c:v>
                </c:pt>
                <c:pt idx="32">
                  <c:v>51.967092907633528</c:v>
                </c:pt>
                <c:pt idx="33">
                  <c:v>54.550212746809862</c:v>
                </c:pt>
                <c:pt idx="34">
                  <c:v>54.550212746809862</c:v>
                </c:pt>
                <c:pt idx="35">
                  <c:v>54.550212746809862</c:v>
                </c:pt>
                <c:pt idx="36">
                  <c:v>57.410043289206996</c:v>
                </c:pt>
                <c:pt idx="37">
                  <c:v>57.410043289206996</c:v>
                </c:pt>
                <c:pt idx="38">
                  <c:v>57.410043289206996</c:v>
                </c:pt>
                <c:pt idx="39">
                  <c:v>57.686753992427796</c:v>
                </c:pt>
                <c:pt idx="40">
                  <c:v>57.686753992427796</c:v>
                </c:pt>
                <c:pt idx="41">
                  <c:v>57.686753992427796</c:v>
                </c:pt>
                <c:pt idx="42">
                  <c:v>57.737123801550474</c:v>
                </c:pt>
                <c:pt idx="43">
                  <c:v>57.737123801550474</c:v>
                </c:pt>
                <c:pt idx="44">
                  <c:v>57.737123801550474</c:v>
                </c:pt>
                <c:pt idx="45">
                  <c:v>57.949618047261879</c:v>
                </c:pt>
                <c:pt idx="46">
                  <c:v>57.949618047261879</c:v>
                </c:pt>
                <c:pt idx="47">
                  <c:v>57.949618047261879</c:v>
                </c:pt>
                <c:pt idx="48">
                  <c:v>55.309762964515762</c:v>
                </c:pt>
                <c:pt idx="49">
                  <c:v>55.309762964515762</c:v>
                </c:pt>
                <c:pt idx="50">
                  <c:v>55.309762964515762</c:v>
                </c:pt>
                <c:pt idx="51">
                  <c:v>52.457413636058234</c:v>
                </c:pt>
                <c:pt idx="52">
                  <c:v>52.457413636058234</c:v>
                </c:pt>
                <c:pt idx="53">
                  <c:v>52.457413636058234</c:v>
                </c:pt>
                <c:pt idx="54">
                  <c:v>16.420830618246576</c:v>
                </c:pt>
                <c:pt idx="55">
                  <c:v>16.420830618246576</c:v>
                </c:pt>
                <c:pt idx="56">
                  <c:v>16.420830618246576</c:v>
                </c:pt>
                <c:pt idx="57">
                  <c:v>12.866749798446754</c:v>
                </c:pt>
                <c:pt idx="58">
                  <c:v>12.866749798446754</c:v>
                </c:pt>
                <c:pt idx="59">
                  <c:v>12.866749798446754</c:v>
                </c:pt>
                <c:pt idx="60">
                  <c:v>9.3126689786469328</c:v>
                </c:pt>
                <c:pt idx="61">
                  <c:v>9.3126689786469328</c:v>
                </c:pt>
                <c:pt idx="62">
                  <c:v>9.3126689786469328</c:v>
                </c:pt>
                <c:pt idx="63">
                  <c:v>9.3126689786469328</c:v>
                </c:pt>
                <c:pt idx="64">
                  <c:v>9.3126689786469328</c:v>
                </c:pt>
                <c:pt idx="65">
                  <c:v>9.3126689786469328</c:v>
                </c:pt>
                <c:pt idx="66">
                  <c:v>9.3626881192414331</c:v>
                </c:pt>
                <c:pt idx="67">
                  <c:v>9.3626881192414331</c:v>
                </c:pt>
                <c:pt idx="68">
                  <c:v>9.3626881192414331</c:v>
                </c:pt>
                <c:pt idx="69">
                  <c:v>9.3626881192414331</c:v>
                </c:pt>
                <c:pt idx="70">
                  <c:v>9.3626881192414331</c:v>
                </c:pt>
                <c:pt idx="71">
                  <c:v>9.3626881192414331</c:v>
                </c:pt>
                <c:pt idx="72">
                  <c:v>13.26548609354856</c:v>
                </c:pt>
                <c:pt idx="73">
                  <c:v>13.26548609354856</c:v>
                </c:pt>
                <c:pt idx="74">
                  <c:v>13.26548609354856</c:v>
                </c:pt>
                <c:pt idx="75">
                  <c:v>17.168284067855687</c:v>
                </c:pt>
                <c:pt idx="76">
                  <c:v>17.168284067855687</c:v>
                </c:pt>
                <c:pt idx="77">
                  <c:v>17.168284067855687</c:v>
                </c:pt>
                <c:pt idx="78">
                  <c:v>65.832102912236593</c:v>
                </c:pt>
                <c:pt idx="79">
                  <c:v>65.832102912236593</c:v>
                </c:pt>
                <c:pt idx="80">
                  <c:v>65.832102912236593</c:v>
                </c:pt>
                <c:pt idx="81">
                  <c:v>71.652138832174344</c:v>
                </c:pt>
                <c:pt idx="82">
                  <c:v>71.652138832174344</c:v>
                </c:pt>
                <c:pt idx="83">
                  <c:v>71.652138832174344</c:v>
                </c:pt>
                <c:pt idx="84">
                  <c:v>77.472174752112096</c:v>
                </c:pt>
                <c:pt idx="85">
                  <c:v>77.472174752112096</c:v>
                </c:pt>
                <c:pt idx="86">
                  <c:v>77.472174752112096</c:v>
                </c:pt>
                <c:pt idx="87">
                  <c:v>77.472174752112096</c:v>
                </c:pt>
                <c:pt idx="88">
                  <c:v>77.472174752112096</c:v>
                </c:pt>
                <c:pt idx="89">
                  <c:v>77.472174752112096</c:v>
                </c:pt>
                <c:pt idx="90">
                  <c:v>75.970281297340648</c:v>
                </c:pt>
                <c:pt idx="91">
                  <c:v>75.970281297340648</c:v>
                </c:pt>
                <c:pt idx="92">
                  <c:v>75.970281297340648</c:v>
                </c:pt>
                <c:pt idx="93">
                  <c:v>75.970281297340648</c:v>
                </c:pt>
                <c:pt idx="94">
                  <c:v>75.970281297340648</c:v>
                </c:pt>
                <c:pt idx="95">
                  <c:v>75.970281297340648</c:v>
                </c:pt>
                <c:pt idx="96">
                  <c:v>68.859258948786433</c:v>
                </c:pt>
                <c:pt idx="97">
                  <c:v>68.859258948786433</c:v>
                </c:pt>
                <c:pt idx="98">
                  <c:v>68.859258948786433</c:v>
                </c:pt>
                <c:pt idx="99">
                  <c:v>61.748236600232218</c:v>
                </c:pt>
                <c:pt idx="100">
                  <c:v>61.748236600232218</c:v>
                </c:pt>
                <c:pt idx="101">
                  <c:v>61.748236600232218</c:v>
                </c:pt>
                <c:pt idx="102">
                  <c:v>56.285280127327979</c:v>
                </c:pt>
                <c:pt idx="103">
                  <c:v>56.285280127327979</c:v>
                </c:pt>
                <c:pt idx="104">
                  <c:v>56.285280127327979</c:v>
                </c:pt>
                <c:pt idx="105">
                  <c:v>29.027803655452772</c:v>
                </c:pt>
                <c:pt idx="106">
                  <c:v>29.027803655452772</c:v>
                </c:pt>
                <c:pt idx="107">
                  <c:v>29.027803655452772</c:v>
                </c:pt>
                <c:pt idx="108">
                  <c:v>0.75866158228956238</c:v>
                </c:pt>
                <c:pt idx="109">
                  <c:v>0.75866158228956238</c:v>
                </c:pt>
                <c:pt idx="110">
                  <c:v>0.75866158228956238</c:v>
                </c:pt>
                <c:pt idx="111">
                  <c:v>-8.0660333999295286E-2</c:v>
                </c:pt>
                <c:pt idx="112">
                  <c:v>-8.0660333999295286E-2</c:v>
                </c:pt>
                <c:pt idx="113">
                  <c:v>-8.0660333999295286E-2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1E-4681-872D-F561D8AF9774}"/>
            </c:ext>
          </c:extLst>
        </c:ser>
        <c:ser>
          <c:idx val="0"/>
          <c:order val="4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Panels!$S$39:$S$43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91.44</c:v>
                </c:pt>
              </c:numCache>
            </c:numRef>
          </c:xVal>
          <c:yVal>
            <c:numRef>
              <c:f>Panels!$T$39:$T$43</c:f>
              <c:numCache>
                <c:formatCode>0.0</c:formatCode>
                <c:ptCount val="5"/>
                <c:pt idx="0">
                  <c:v>-5</c:v>
                </c:pt>
                <c:pt idx="1">
                  <c:v>91.44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1E-4681-872D-F561D8AF9774}"/>
            </c:ext>
          </c:extLst>
        </c:ser>
        <c:ser>
          <c:idx val="3"/>
          <c:order val="5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9170937529967075E-2"/>
                  <c:y val="1.58760330872037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1E-4681-872D-F561D8AF9774}"/>
                </c:ext>
              </c:extLst>
            </c:dLbl>
            <c:dLbl>
              <c:idx val="1"/>
              <c:layout>
                <c:manualLayout>
                  <c:x val="-3.3573141486810613E-2"/>
                  <c:y val="-1.69165705497885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1E-4681-872D-F561D8AF9774}"/>
                </c:ext>
              </c:extLst>
            </c:dLbl>
            <c:dLbl>
              <c:idx val="3"/>
              <c:layout>
                <c:manualLayout>
                  <c:x val="-8.3133493205435657E-2"/>
                  <c:y val="5.638791710126502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1E-4681-872D-F561D8AF977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61-4283-B43C-30716C728A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1E-4681-872D-F561D8AF97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1E-4681-872D-F561D8AF9774}"/>
                </c:ext>
              </c:extLst>
            </c:dLbl>
            <c:dLbl>
              <c:idx val="9"/>
              <c:layout>
                <c:manualLayout>
                  <c:x val="-9.1291700851331339E-4"/>
                  <c:y val="1.48459115141053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1E-4681-872D-F561D8AF9774}"/>
                </c:ext>
              </c:extLst>
            </c:dLbl>
            <c:dLbl>
              <c:idx val="10"/>
              <c:layout>
                <c:manualLayout>
                  <c:x val="-1.5987210231814548E-2"/>
                  <c:y val="-1.6916570549788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1E-4681-872D-F561D8AF9774}"/>
                </c:ext>
              </c:extLst>
            </c:dLbl>
            <c:dLbl>
              <c:idx val="12"/>
              <c:layout>
                <c:manualLayout>
                  <c:x val="-1.2629679747406405E-2"/>
                  <c:y val="1.4433919711321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61-4283-B43C-30716C728A14}"/>
                </c:ext>
              </c:extLst>
            </c:dLbl>
            <c:dLbl>
              <c:idx val="13"/>
              <c:layout>
                <c:manualLayout>
                  <c:x val="-2.165087956698241E-2"/>
                  <c:y val="-1.6238159675236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61-4283-B43C-30716C728A14}"/>
                </c:ext>
              </c:extLst>
            </c:dLbl>
            <c:dLbl>
              <c:idx val="18"/>
              <c:layout>
                <c:manualLayout>
                  <c:x val="-1.1602115364808218E-2"/>
                  <c:y val="1.30416715501901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1E-4681-872D-F561D8AF9774}"/>
                </c:ext>
              </c:extLst>
            </c:dLbl>
            <c:dLbl>
              <c:idx val="19"/>
              <c:layout>
                <c:manualLayout>
                  <c:x val="-1.1191118024996538E-2"/>
                  <c:y val="-1.4579537503684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1E-4681-872D-F561D8AF97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Guides!$F$6:$F$32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Guides!$G$6:$G$32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1E-4681-872D-F561D8AF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88640"/>
        <c:axId val="58690560"/>
      </c:scatterChart>
      <c:valAx>
        <c:axId val="58688640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Width</a:t>
                </a:r>
              </a:p>
            </c:rich>
          </c:tx>
          <c:layout>
            <c:manualLayout>
              <c:xMode val="edge"/>
              <c:yMode val="edge"/>
              <c:x val="0.51342281879194629"/>
              <c:y val="0.935367919435602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58690560"/>
        <c:crosses val="autoZero"/>
        <c:crossBetween val="midCat"/>
      </c:valAx>
      <c:valAx>
        <c:axId val="58690560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091722595078E-2"/>
              <c:y val="0.45448576906610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58688640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35</xdr:row>
      <xdr:rowOff>152399</xdr:rowOff>
    </xdr:from>
    <xdr:to>
      <xdr:col>26</xdr:col>
      <xdr:colOff>0</xdr:colOff>
      <xdr:row>55</xdr:row>
      <xdr:rowOff>28574</xdr:rowOff>
    </xdr:to>
    <xdr:graphicFrame macro="">
      <xdr:nvGraphicFramePr>
        <xdr:cNvPr id="12038" name="Chart 5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19049</xdr:colOff>
      <xdr:row>0</xdr:row>
      <xdr:rowOff>47623</xdr:rowOff>
    </xdr:from>
    <xdr:to>
      <xdr:col>26</xdr:col>
      <xdr:colOff>9524</xdr:colOff>
      <xdr:row>34</xdr:row>
      <xdr:rowOff>123823</xdr:rowOff>
    </xdr:to>
    <xdr:graphicFrame macro="">
      <xdr:nvGraphicFramePr>
        <xdr:cNvPr id="12039" name="Chart 6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123825</xdr:rowOff>
        </xdr:from>
        <xdr:to>
          <xdr:col>11</xdr:col>
          <xdr:colOff>0</xdr:colOff>
          <xdr:row>25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Optimize!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57</xdr:row>
          <xdr:rowOff>28575</xdr:rowOff>
        </xdr:from>
        <xdr:to>
          <xdr:col>10</xdr:col>
          <xdr:colOff>323850</xdr:colOff>
          <xdr:row>60</xdr:row>
          <xdr:rowOff>95250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5</xdr:row>
      <xdr:rowOff>0</xdr:rowOff>
    </xdr:from>
    <xdr:to>
      <xdr:col>18</xdr:col>
      <xdr:colOff>419100</xdr:colOff>
      <xdr:row>54</xdr:row>
      <xdr:rowOff>38100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R499"/>
  <sheetViews>
    <sheetView showGridLines="0" tabSelected="1" zoomScaleNormal="100" workbookViewId="0">
      <selection activeCell="D4" sqref="D4"/>
    </sheetView>
  </sheetViews>
  <sheetFormatPr defaultRowHeight="11.25" x14ac:dyDescent="0.2"/>
  <cols>
    <col min="1" max="1" width="2.140625" style="61" bestFit="1" customWidth="1"/>
    <col min="2" max="2" width="15" style="61" bestFit="1" customWidth="1"/>
    <col min="3" max="3" width="3.5703125" style="61" bestFit="1" customWidth="1"/>
    <col min="4" max="4" width="7.28515625" style="61" customWidth="1"/>
    <col min="5" max="5" width="5.7109375" style="61" bestFit="1" customWidth="1"/>
    <col min="6" max="6" width="5.140625" style="61" customWidth="1"/>
    <col min="7" max="7" width="8" style="61" customWidth="1"/>
    <col min="8" max="8" width="6.42578125" style="61" bestFit="1" customWidth="1"/>
    <col min="9" max="9" width="4" style="61" bestFit="1" customWidth="1"/>
    <col min="10" max="10" width="18.85546875" style="61" bestFit="1" customWidth="1"/>
    <col min="11" max="11" width="5" style="61" bestFit="1" customWidth="1"/>
    <col min="12" max="12" width="3" style="61" customWidth="1"/>
    <col min="13" max="13" width="3.7109375" style="61" bestFit="1" customWidth="1"/>
    <col min="14" max="14" width="6" style="61" customWidth="1"/>
    <col min="15" max="15" width="4" style="61" bestFit="1" customWidth="1"/>
    <col min="16" max="16" width="10.42578125" style="61" bestFit="1" customWidth="1"/>
    <col min="17" max="17" width="3.7109375" style="61" bestFit="1" customWidth="1"/>
    <col min="18" max="18" width="4" style="61" bestFit="1" customWidth="1"/>
    <col min="19" max="19" width="4.85546875" style="61" bestFit="1" customWidth="1"/>
    <col min="20" max="20" width="5.7109375" style="61" bestFit="1" customWidth="1"/>
    <col min="21" max="22" width="4.85546875" style="61" bestFit="1" customWidth="1"/>
    <col min="23" max="23" width="5.7109375" style="61" bestFit="1" customWidth="1"/>
    <col min="24" max="24" width="4.85546875" style="61" bestFit="1" customWidth="1"/>
    <col min="25" max="26" width="9.85546875" style="61" customWidth="1"/>
    <col min="27" max="27" width="2.5703125" style="61" customWidth="1"/>
    <col min="28" max="28" width="17.85546875" style="61" bestFit="1" customWidth="1"/>
    <col min="29" max="29" width="2.7109375" style="61" bestFit="1" customWidth="1"/>
    <col min="30" max="30" width="5.28515625" style="61" bestFit="1" customWidth="1"/>
    <col min="31" max="31" width="5.7109375" style="61" bestFit="1" customWidth="1"/>
    <col min="32" max="32" width="7.42578125" style="61" bestFit="1" customWidth="1"/>
    <col min="33" max="33" width="5.28515625" style="61" bestFit="1" customWidth="1"/>
    <col min="34" max="34" width="4" style="61" bestFit="1" customWidth="1"/>
    <col min="35" max="35" width="4.42578125" style="61" bestFit="1" customWidth="1"/>
    <col min="36" max="36" width="5.42578125" style="61" bestFit="1" customWidth="1"/>
    <col min="37" max="37" width="4.5703125" style="61" bestFit="1" customWidth="1"/>
    <col min="38" max="38" width="4.85546875" style="61" bestFit="1" customWidth="1"/>
    <col min="39" max="39" width="3" style="61" bestFit="1" customWidth="1"/>
    <col min="40" max="40" width="4" style="61" bestFit="1" customWidth="1"/>
    <col min="41" max="41" width="4.85546875" style="61" bestFit="1" customWidth="1"/>
    <col min="42" max="43" width="4.42578125" style="61" bestFit="1" customWidth="1"/>
    <col min="44" max="44" width="5" style="61" bestFit="1" customWidth="1"/>
    <col min="45" max="45" width="2" style="61" bestFit="1" customWidth="1"/>
    <col min="46" max="46" width="4.42578125" style="61" bestFit="1" customWidth="1"/>
    <col min="47" max="47" width="5" style="61" bestFit="1" customWidth="1"/>
    <col min="48" max="48" width="3.7109375" style="61" bestFit="1" customWidth="1"/>
    <col min="49" max="16384" width="9.140625" style="61"/>
  </cols>
  <sheetData>
    <row r="1" spans="2:11" x14ac:dyDescent="0.2">
      <c r="B1" s="59" t="s">
        <v>70</v>
      </c>
      <c r="C1" s="59" t="s">
        <v>0</v>
      </c>
      <c r="D1" s="60">
        <v>1.4</v>
      </c>
    </row>
    <row r="3" spans="2:11" ht="12" thickBot="1" x14ac:dyDescent="0.25">
      <c r="B3" s="59" t="s">
        <v>56</v>
      </c>
    </row>
    <row r="4" spans="2:11" ht="12" thickBot="1" x14ac:dyDescent="0.25">
      <c r="B4" s="62" t="s">
        <v>24</v>
      </c>
      <c r="C4" s="63" t="s">
        <v>0</v>
      </c>
      <c r="D4" s="217">
        <f>21.5*2.54</f>
        <v>54.61</v>
      </c>
      <c r="E4" s="61" t="s">
        <v>22</v>
      </c>
      <c r="F4" s="65">
        <f>D4/2.54</f>
        <v>21.5</v>
      </c>
      <c r="G4" s="61" t="s">
        <v>48</v>
      </c>
      <c r="H4" s="66"/>
      <c r="I4" s="67" t="s">
        <v>27</v>
      </c>
      <c r="J4" s="67"/>
      <c r="K4" s="68"/>
    </row>
    <row r="5" spans="2:11" ht="13.5" thickBot="1" x14ac:dyDescent="0.25">
      <c r="B5" s="62" t="s">
        <v>29</v>
      </c>
      <c r="C5" s="63" t="s">
        <v>0</v>
      </c>
      <c r="D5" s="64">
        <f>20*2.54</f>
        <v>50.8</v>
      </c>
      <c r="E5" s="61" t="s">
        <v>22</v>
      </c>
      <c r="F5" s="69">
        <f>D5/2.54</f>
        <v>20</v>
      </c>
      <c r="G5" s="61" t="s">
        <v>48</v>
      </c>
      <c r="H5" s="142" t="s">
        <v>5</v>
      </c>
      <c r="I5" s="289" t="s">
        <v>142</v>
      </c>
      <c r="J5" s="290"/>
      <c r="K5" s="291"/>
    </row>
    <row r="6" spans="2:11" ht="13.5" thickBot="1" x14ac:dyDescent="0.25">
      <c r="B6" s="62" t="s">
        <v>30</v>
      </c>
      <c r="C6" s="63" t="s">
        <v>0</v>
      </c>
      <c r="D6" s="64">
        <f>10.3*2.54</f>
        <v>26.162000000000003</v>
      </c>
      <c r="E6" s="61" t="s">
        <v>22</v>
      </c>
      <c r="F6" s="65">
        <f>D6/2.54</f>
        <v>10.3</v>
      </c>
      <c r="G6" s="61" t="s">
        <v>48</v>
      </c>
      <c r="H6" s="140" t="s">
        <v>5</v>
      </c>
      <c r="I6" s="270" t="s">
        <v>143</v>
      </c>
      <c r="J6" s="91"/>
      <c r="K6" s="70"/>
    </row>
    <row r="7" spans="2:11" ht="13.5" thickBot="1" x14ac:dyDescent="0.25">
      <c r="B7" s="62" t="s">
        <v>25</v>
      </c>
      <c r="C7" s="63" t="s">
        <v>0</v>
      </c>
      <c r="D7" s="64">
        <v>21</v>
      </c>
      <c r="E7" s="61" t="s">
        <v>22</v>
      </c>
      <c r="F7" s="65">
        <f>D7/2.54</f>
        <v>8.2677165354330704</v>
      </c>
      <c r="G7" s="61" t="s">
        <v>48</v>
      </c>
      <c r="H7" s="140" t="s">
        <v>5</v>
      </c>
      <c r="I7" s="270" t="s">
        <v>144</v>
      </c>
      <c r="J7" s="91"/>
      <c r="K7" s="70"/>
    </row>
    <row r="8" spans="2:11" ht="13.5" thickBot="1" x14ac:dyDescent="0.25">
      <c r="B8" s="71" t="s">
        <v>26</v>
      </c>
      <c r="C8" s="72" t="s">
        <v>0</v>
      </c>
      <c r="D8" s="73">
        <v>8</v>
      </c>
      <c r="E8" s="61" t="s">
        <v>22</v>
      </c>
      <c r="F8" s="74">
        <f>D8/2.54</f>
        <v>3.1496062992125982</v>
      </c>
      <c r="G8" s="61" t="s">
        <v>48</v>
      </c>
      <c r="H8" s="140" t="s">
        <v>5</v>
      </c>
      <c r="I8" s="270" t="s">
        <v>141</v>
      </c>
      <c r="J8" s="91"/>
      <c r="K8" s="70"/>
    </row>
    <row r="9" spans="2:11" ht="12.75" x14ac:dyDescent="0.2">
      <c r="H9" s="140" t="s">
        <v>5</v>
      </c>
      <c r="I9" s="270" t="s">
        <v>145</v>
      </c>
      <c r="J9" s="91"/>
      <c r="K9" s="70"/>
    </row>
    <row r="10" spans="2:11" ht="13.5" thickBot="1" x14ac:dyDescent="0.25">
      <c r="B10" s="59" t="s">
        <v>55</v>
      </c>
      <c r="H10" s="140" t="s">
        <v>5</v>
      </c>
      <c r="I10" s="270" t="s">
        <v>146</v>
      </c>
      <c r="J10" s="91"/>
      <c r="K10" s="70"/>
    </row>
    <row r="11" spans="2:11" ht="13.5" thickBot="1" x14ac:dyDescent="0.25">
      <c r="B11" s="75" t="s">
        <v>71</v>
      </c>
      <c r="C11" s="76" t="s">
        <v>0</v>
      </c>
      <c r="D11" s="77">
        <f>36*2.54</f>
        <v>91.44</v>
      </c>
      <c r="E11" s="61" t="s">
        <v>22</v>
      </c>
      <c r="F11" s="78">
        <f>D11/2.54</f>
        <v>36</v>
      </c>
      <c r="G11" s="61" t="s">
        <v>48</v>
      </c>
      <c r="H11" s="140" t="s">
        <v>5</v>
      </c>
      <c r="I11" s="258" t="s">
        <v>110</v>
      </c>
      <c r="J11" s="91"/>
      <c r="K11" s="70"/>
    </row>
    <row r="12" spans="2:11" ht="13.5" thickBot="1" x14ac:dyDescent="0.25">
      <c r="B12" s="79" t="s">
        <v>72</v>
      </c>
      <c r="C12" s="80" t="s">
        <v>0</v>
      </c>
      <c r="D12" s="81">
        <f>24*2.54</f>
        <v>60.96</v>
      </c>
      <c r="E12" s="61" t="s">
        <v>22</v>
      </c>
      <c r="F12" s="78">
        <f>D12/2.54</f>
        <v>24</v>
      </c>
      <c r="G12" s="61" t="s">
        <v>48</v>
      </c>
      <c r="H12" s="140" t="s">
        <v>5</v>
      </c>
      <c r="I12" s="258" t="s">
        <v>111</v>
      </c>
      <c r="J12" s="91"/>
      <c r="K12" s="70"/>
    </row>
    <row r="13" spans="2:11" ht="13.5" thickBot="1" x14ac:dyDescent="0.25">
      <c r="B13" s="75" t="s">
        <v>73</v>
      </c>
      <c r="C13" s="82" t="s">
        <v>0</v>
      </c>
      <c r="D13" s="77">
        <f>36*2.54</f>
        <v>91.44</v>
      </c>
      <c r="E13" s="83" t="s">
        <v>22</v>
      </c>
      <c r="F13" s="84">
        <f>D13/2.54</f>
        <v>36</v>
      </c>
      <c r="G13" s="61" t="s">
        <v>48</v>
      </c>
      <c r="H13" s="140" t="s">
        <v>5</v>
      </c>
      <c r="I13" s="258" t="s">
        <v>112</v>
      </c>
      <c r="J13" s="91"/>
      <c r="K13" s="70"/>
    </row>
    <row r="14" spans="2:11" ht="13.5" thickBot="1" x14ac:dyDescent="0.25">
      <c r="H14" s="141" t="s">
        <v>5</v>
      </c>
      <c r="I14" s="241" t="s">
        <v>118</v>
      </c>
      <c r="J14" s="85"/>
      <c r="K14" s="86"/>
    </row>
    <row r="15" spans="2:11" ht="12" thickBot="1" x14ac:dyDescent="0.25">
      <c r="B15" s="75" t="s">
        <v>53</v>
      </c>
      <c r="C15" s="76" t="s">
        <v>0</v>
      </c>
      <c r="D15" s="216">
        <v>30</v>
      </c>
      <c r="E15" s="61" t="s">
        <v>22</v>
      </c>
      <c r="F15" s="78">
        <f>D15/2.54</f>
        <v>11.811023622047244</v>
      </c>
      <c r="G15" s="61" t="s">
        <v>48</v>
      </c>
    </row>
    <row r="16" spans="2:11" ht="12" thickBot="1" x14ac:dyDescent="0.25">
      <c r="H16" s="66"/>
      <c r="I16" s="67" t="s">
        <v>27</v>
      </c>
      <c r="J16" s="67"/>
      <c r="K16" s="68"/>
    </row>
    <row r="17" spans="2:11" ht="13.5" thickBot="1" x14ac:dyDescent="0.25">
      <c r="B17" s="59" t="s">
        <v>54</v>
      </c>
      <c r="F17" s="92"/>
      <c r="H17" s="142" t="s">
        <v>5</v>
      </c>
      <c r="I17" s="87" t="s">
        <v>20</v>
      </c>
      <c r="J17" s="88"/>
      <c r="K17" s="89"/>
    </row>
    <row r="18" spans="2:11" ht="13.5" thickBot="1" x14ac:dyDescent="0.25">
      <c r="B18" s="93" t="s">
        <v>13</v>
      </c>
      <c r="C18" s="94" t="s">
        <v>0</v>
      </c>
      <c r="D18" s="211">
        <v>403</v>
      </c>
      <c r="E18" s="61" t="s">
        <v>18</v>
      </c>
      <c r="H18" s="140" t="s">
        <v>5</v>
      </c>
      <c r="I18" s="90" t="s">
        <v>52</v>
      </c>
      <c r="J18" s="91"/>
      <c r="K18" s="70"/>
    </row>
    <row r="19" spans="2:11" ht="13.5" thickBot="1" x14ac:dyDescent="0.25">
      <c r="B19" s="93" t="s">
        <v>37</v>
      </c>
      <c r="C19" s="94" t="s">
        <v>0</v>
      </c>
      <c r="D19" s="212">
        <f>Path!D4</f>
        <v>402.99999999999864</v>
      </c>
      <c r="E19" s="61" t="s">
        <v>18</v>
      </c>
      <c r="H19" s="140" t="s">
        <v>5</v>
      </c>
      <c r="I19" s="90" t="s">
        <v>21</v>
      </c>
      <c r="J19" s="91"/>
      <c r="K19" s="70"/>
    </row>
    <row r="20" spans="2:11" ht="13.5" thickBot="1" x14ac:dyDescent="0.25">
      <c r="B20" s="93" t="s">
        <v>44</v>
      </c>
      <c r="C20" s="94" t="s">
        <v>0</v>
      </c>
      <c r="D20" s="212">
        <f>Path!D5</f>
        <v>1813.6312480698434</v>
      </c>
      <c r="E20" s="61" t="s">
        <v>18</v>
      </c>
      <c r="H20" s="141" t="s">
        <v>49</v>
      </c>
      <c r="I20" s="95" t="s">
        <v>51</v>
      </c>
      <c r="J20" s="85"/>
      <c r="K20" s="86"/>
    </row>
    <row r="21" spans="2:11" ht="12" thickBot="1" x14ac:dyDescent="0.25">
      <c r="B21" s="260" t="s">
        <v>14</v>
      </c>
      <c r="C21" s="94" t="s">
        <v>0</v>
      </c>
      <c r="D21" s="212">
        <f>Path!D6</f>
        <v>1943.8572308784649</v>
      </c>
      <c r="E21" s="61" t="s">
        <v>18</v>
      </c>
    </row>
    <row r="22" spans="2:11" ht="12" thickBot="1" x14ac:dyDescent="0.25">
      <c r="B22" s="260" t="s">
        <v>45</v>
      </c>
      <c r="C22" s="94" t="s">
        <v>0</v>
      </c>
      <c r="D22" s="212">
        <f>Path!D7</f>
        <v>2082.9265366884524</v>
      </c>
      <c r="E22" s="61" t="s">
        <v>18</v>
      </c>
    </row>
    <row r="23" spans="2:11" ht="12" thickBot="1" x14ac:dyDescent="0.25">
      <c r="B23" s="93" t="s">
        <v>23</v>
      </c>
      <c r="C23" s="94" t="s">
        <v>0</v>
      </c>
      <c r="D23" s="96">
        <f>Path!G4</f>
        <v>31.577481161143542</v>
      </c>
      <c r="E23" s="61" t="s">
        <v>22</v>
      </c>
    </row>
    <row r="24" spans="2:11" ht="12" thickBot="1" x14ac:dyDescent="0.25">
      <c r="B24" s="93" t="s">
        <v>47</v>
      </c>
      <c r="C24" s="94" t="s">
        <v>0</v>
      </c>
      <c r="D24" s="96">
        <f>Path!G5</f>
        <v>294.90217003108199</v>
      </c>
      <c r="E24" s="61" t="s">
        <v>22</v>
      </c>
    </row>
    <row r="25" spans="2:11" ht="12" thickBot="1" x14ac:dyDescent="0.25">
      <c r="B25" s="93" t="s">
        <v>46</v>
      </c>
      <c r="C25" s="94" t="s">
        <v>0</v>
      </c>
      <c r="D25" s="96">
        <f>Path!G6</f>
        <v>27.281227887772047</v>
      </c>
      <c r="E25" s="61" t="s">
        <v>22</v>
      </c>
    </row>
    <row r="26" spans="2:11" ht="12" thickBot="1" x14ac:dyDescent="0.25">
      <c r="B26" s="260" t="s">
        <v>109</v>
      </c>
      <c r="C26" s="94" t="s">
        <v>0</v>
      </c>
      <c r="D26" s="96">
        <f>Path!G7</f>
        <v>29.133828305002169</v>
      </c>
      <c r="E26" s="61" t="s">
        <v>22</v>
      </c>
    </row>
    <row r="27" spans="2:11" ht="12" thickBot="1" x14ac:dyDescent="0.25">
      <c r="B27" s="93" t="s">
        <v>42</v>
      </c>
      <c r="C27" s="94" t="s">
        <v>0</v>
      </c>
      <c r="D27" s="96">
        <f>Path!G9</f>
        <v>382.89470738499978</v>
      </c>
      <c r="E27" s="61" t="s">
        <v>22</v>
      </c>
      <c r="K27" s="98">
        <f>ABS(G45)+ABS(G46)+ABS(G47)+ABS(G48)+ABS(G49)+ABS(G50)+ABS(G51)+ABS(G52)+ABS(G53)+ABS(E62)</f>
        <v>1.3759286936760873E-3</v>
      </c>
    </row>
    <row r="29" spans="2:11" ht="12" thickBot="1" x14ac:dyDescent="0.25">
      <c r="B29" s="2" t="s">
        <v>135</v>
      </c>
    </row>
    <row r="30" spans="2:11" ht="12" thickBot="1" x14ac:dyDescent="0.25">
      <c r="B30" s="218" t="s">
        <v>136</v>
      </c>
      <c r="C30" s="129" t="s">
        <v>0</v>
      </c>
      <c r="D30" s="261" t="s">
        <v>87</v>
      </c>
      <c r="F30" s="2"/>
    </row>
    <row r="31" spans="2:11" ht="12" thickBot="1" x14ac:dyDescent="0.25">
      <c r="B31" s="218" t="s">
        <v>138</v>
      </c>
      <c r="C31" s="129" t="s">
        <v>0</v>
      </c>
      <c r="D31" s="238" t="s">
        <v>140</v>
      </c>
      <c r="F31" s="2" t="s">
        <v>131</v>
      </c>
    </row>
    <row r="32" spans="2:11" ht="12" thickBot="1" x14ac:dyDescent="0.25">
      <c r="B32" s="218" t="s">
        <v>137</v>
      </c>
      <c r="C32" s="129" t="s">
        <v>0</v>
      </c>
      <c r="D32" s="261" t="s">
        <v>87</v>
      </c>
      <c r="F32" s="2"/>
    </row>
    <row r="33" spans="2:11" ht="12" thickBot="1" x14ac:dyDescent="0.25">
      <c r="B33" s="218" t="s">
        <v>139</v>
      </c>
      <c r="C33" s="129" t="s">
        <v>0</v>
      </c>
      <c r="D33" s="261" t="s">
        <v>87</v>
      </c>
      <c r="F33" s="2"/>
    </row>
    <row r="34" spans="2:11" ht="12" thickBot="1" x14ac:dyDescent="0.25">
      <c r="B34" s="75" t="s">
        <v>113</v>
      </c>
      <c r="C34" s="76" t="s">
        <v>0</v>
      </c>
      <c r="D34" s="97">
        <f>D22^0.5+2*D45</f>
        <v>49.439090007234505</v>
      </c>
      <c r="E34" s="61" t="s">
        <v>22</v>
      </c>
    </row>
    <row r="35" spans="2:11" x14ac:dyDescent="0.2">
      <c r="B35" s="262"/>
      <c r="C35" s="262"/>
      <c r="D35" s="263"/>
    </row>
    <row r="36" spans="2:11" ht="12" thickBot="1" x14ac:dyDescent="0.25">
      <c r="B36" s="59" t="s">
        <v>57</v>
      </c>
    </row>
    <row r="37" spans="2:11" x14ac:dyDescent="0.2">
      <c r="B37" s="99" t="s">
        <v>16</v>
      </c>
      <c r="C37" s="100" t="s">
        <v>0</v>
      </c>
      <c r="D37" s="101">
        <f>D38-I56</f>
        <v>427.09101308607137</v>
      </c>
      <c r="E37" s="102" t="s">
        <v>15</v>
      </c>
      <c r="F37" s="103">
        <f>(D37*1000/2.54^3)/1728</f>
        <v>15.082576786877533</v>
      </c>
      <c r="G37" s="102" t="s">
        <v>2</v>
      </c>
      <c r="H37" s="102"/>
      <c r="I37" s="102"/>
      <c r="J37" s="102"/>
      <c r="K37" s="104"/>
    </row>
    <row r="38" spans="2:11" x14ac:dyDescent="0.2">
      <c r="B38" s="105" t="s">
        <v>17</v>
      </c>
      <c r="C38" s="106" t="s">
        <v>0</v>
      </c>
      <c r="D38" s="107">
        <f>D11*D12*D13/1000</f>
        <v>509.70323865599994</v>
      </c>
      <c r="E38" s="108" t="s">
        <v>15</v>
      </c>
      <c r="F38" s="109">
        <f>(D38*1000/2.54^3)/1728</f>
        <v>18</v>
      </c>
      <c r="G38" s="108" t="s">
        <v>2</v>
      </c>
      <c r="H38" s="108"/>
      <c r="I38" s="108"/>
      <c r="J38" s="108"/>
      <c r="K38" s="110"/>
    </row>
    <row r="39" spans="2:11" x14ac:dyDescent="0.2">
      <c r="B39" s="111"/>
      <c r="C39" s="108"/>
      <c r="D39" s="108"/>
      <c r="E39" s="108"/>
      <c r="F39" s="108"/>
      <c r="G39" s="108"/>
      <c r="H39" s="108"/>
      <c r="I39" s="108"/>
      <c r="J39" s="108"/>
      <c r="K39" s="110"/>
    </row>
    <row r="40" spans="2:11" x14ac:dyDescent="0.2">
      <c r="B40" s="206" t="s">
        <v>117</v>
      </c>
      <c r="C40" s="106" t="s">
        <v>0</v>
      </c>
      <c r="D40" s="112">
        <v>4.7820260215391599</v>
      </c>
      <c r="E40" s="239">
        <f>Path!I7</f>
        <v>4.7820179082218921</v>
      </c>
      <c r="F40" s="108"/>
      <c r="G40" s="108"/>
      <c r="H40" s="108"/>
      <c r="I40" s="108"/>
      <c r="J40" s="108"/>
      <c r="K40" s="110"/>
    </row>
    <row r="41" spans="2:11" x14ac:dyDescent="0.2">
      <c r="B41" s="105" t="s">
        <v>10</v>
      </c>
      <c r="C41" s="106"/>
      <c r="D41" s="113" t="s">
        <v>9</v>
      </c>
      <c r="E41" s="113" t="s">
        <v>5</v>
      </c>
      <c r="F41" s="113" t="s">
        <v>6</v>
      </c>
      <c r="G41" s="113"/>
      <c r="H41" s="113" t="s">
        <v>11</v>
      </c>
      <c r="I41" s="113" t="s">
        <v>31</v>
      </c>
      <c r="J41" s="106"/>
      <c r="K41" s="114"/>
    </row>
    <row r="42" spans="2:11" x14ac:dyDescent="0.2">
      <c r="B42" s="111" t="str">
        <f t="shared" ref="B42:B49" si="0">I5</f>
        <v>Panel A (bottom)</v>
      </c>
      <c r="C42" s="108"/>
      <c r="D42" s="115">
        <v>1.9</v>
      </c>
      <c r="E42" s="116">
        <f>D12-2*D45</f>
        <v>57.160000000000004</v>
      </c>
      <c r="F42" s="116">
        <f>Panels!K7</f>
        <v>91.44</v>
      </c>
      <c r="G42" s="117"/>
      <c r="H42" s="117">
        <v>1</v>
      </c>
      <c r="I42" s="118">
        <f t="shared" ref="I42" si="1">F42*E42*D42*H42/10^3</f>
        <v>9.9307497599999994</v>
      </c>
      <c r="J42" s="108"/>
      <c r="K42" s="110"/>
    </row>
    <row r="43" spans="2:11" x14ac:dyDescent="0.2">
      <c r="B43" s="111" t="str">
        <f t="shared" si="0"/>
        <v>Panel B (top)</v>
      </c>
      <c r="C43" s="108"/>
      <c r="D43" s="115">
        <v>1.9</v>
      </c>
      <c r="E43" s="116">
        <f>D12-2*D45</f>
        <v>57.160000000000004</v>
      </c>
      <c r="F43" s="116">
        <f>Panels!K13</f>
        <v>91.44</v>
      </c>
      <c r="G43" s="117"/>
      <c r="H43" s="117">
        <v>1</v>
      </c>
      <c r="I43" s="118">
        <f t="shared" ref="I43" si="2">F43*E43*D43*H43/10^3</f>
        <v>9.9307497599999994</v>
      </c>
      <c r="J43" s="108"/>
      <c r="K43" s="110"/>
    </row>
    <row r="44" spans="2:11" x14ac:dyDescent="0.2">
      <c r="B44" s="111" t="str">
        <f>I9</f>
        <v>Panel E (back)</v>
      </c>
      <c r="C44" s="108"/>
      <c r="D44" s="115">
        <v>1.9</v>
      </c>
      <c r="E44" s="116">
        <f>E47</f>
        <v>57.160000000000004</v>
      </c>
      <c r="F44" s="116">
        <f>Panels!K31</f>
        <v>87.639999999999986</v>
      </c>
      <c r="G44" s="119"/>
      <c r="H44" s="117">
        <v>1</v>
      </c>
      <c r="I44" s="118">
        <f t="shared" ref="I44:I51" si="3">F44*E44*D44*H44/10^3</f>
        <v>9.5180545599999995</v>
      </c>
      <c r="J44" s="108"/>
      <c r="K44" s="110"/>
    </row>
    <row r="45" spans="2:11" x14ac:dyDescent="0.2">
      <c r="B45" s="111" t="str">
        <f>I7</f>
        <v>Panel C (sides)</v>
      </c>
      <c r="C45" s="108"/>
      <c r="D45" s="115">
        <v>1.9</v>
      </c>
      <c r="E45" s="116">
        <f>D13</f>
        <v>91.44</v>
      </c>
      <c r="F45" s="116">
        <f>D11</f>
        <v>91.44</v>
      </c>
      <c r="G45" s="119"/>
      <c r="H45" s="117">
        <v>2</v>
      </c>
      <c r="I45" s="118">
        <f t="shared" si="3"/>
        <v>31.772839680000001</v>
      </c>
      <c r="J45" s="108"/>
      <c r="K45" s="110"/>
    </row>
    <row r="46" spans="2:11" x14ac:dyDescent="0.2">
      <c r="B46" s="111" t="str">
        <f>I8</f>
        <v>Panel D (front)</v>
      </c>
      <c r="C46" s="108"/>
      <c r="D46" s="115">
        <v>1.9</v>
      </c>
      <c r="E46" s="116">
        <f>E47</f>
        <v>57.160000000000004</v>
      </c>
      <c r="F46" s="120">
        <v>49.267964632107876</v>
      </c>
      <c r="G46" s="119">
        <f>Path!AD105</f>
        <v>-5.1358445489313453E-5</v>
      </c>
      <c r="H46" s="117">
        <v>1</v>
      </c>
      <c r="I46" s="118">
        <f t="shared" si="3"/>
        <v>5.3506980309054439</v>
      </c>
      <c r="J46" s="108"/>
      <c r="K46" s="110"/>
    </row>
    <row r="47" spans="2:11" x14ac:dyDescent="0.2">
      <c r="B47" s="111" t="str">
        <f t="shared" si="0"/>
        <v>Panel F (baffle)</v>
      </c>
      <c r="C47" s="108"/>
      <c r="D47" s="115">
        <v>1.9</v>
      </c>
      <c r="E47" s="116">
        <f>E42</f>
        <v>57.160000000000004</v>
      </c>
      <c r="F47" s="120">
        <v>62.777481161143534</v>
      </c>
      <c r="G47" s="119">
        <f>Path!AD117</f>
        <v>-1.2043416313645139E-4</v>
      </c>
      <c r="H47" s="117">
        <v>1</v>
      </c>
      <c r="I47" s="118">
        <f t="shared" si="3"/>
        <v>6.8178855640248317</v>
      </c>
      <c r="J47" s="108"/>
      <c r="K47" s="110"/>
    </row>
    <row r="48" spans="2:11" x14ac:dyDescent="0.2">
      <c r="B48" s="111" t="str">
        <f t="shared" si="0"/>
        <v>Panel G (2nd inside)</v>
      </c>
      <c r="C48" s="108"/>
      <c r="D48" s="115">
        <v>1.2</v>
      </c>
      <c r="E48" s="116">
        <f>E47</f>
        <v>57.160000000000004</v>
      </c>
      <c r="F48" s="120">
        <v>32.931649570643074</v>
      </c>
      <c r="G48" s="240">
        <f>Path!AD78</f>
        <v>-4.5073989463162434E-4</v>
      </c>
      <c r="H48" s="117">
        <v>1</v>
      </c>
      <c r="I48" s="118">
        <f t="shared" si="3"/>
        <v>2.2588477073495494</v>
      </c>
      <c r="J48" s="108"/>
      <c r="K48" s="110"/>
    </row>
    <row r="49" spans="2:11" x14ac:dyDescent="0.2">
      <c r="B49" s="111" t="str">
        <f t="shared" si="0"/>
        <v>Panel H (3rd inside)</v>
      </c>
      <c r="C49" s="108"/>
      <c r="D49" s="115">
        <v>1.2</v>
      </c>
      <c r="E49" s="116">
        <f>E47</f>
        <v>57.160000000000004</v>
      </c>
      <c r="F49" s="120">
        <v>52.209346976209943</v>
      </c>
      <c r="G49" s="119">
        <f>Path!AD45</f>
        <v>2.398786148205545E-5</v>
      </c>
      <c r="H49" s="117">
        <v>1</v>
      </c>
      <c r="I49" s="118">
        <f t="shared" si="3"/>
        <v>3.5811435277921921</v>
      </c>
      <c r="J49" s="108"/>
      <c r="K49" s="110"/>
    </row>
    <row r="50" spans="2:11" x14ac:dyDescent="0.2">
      <c r="B50" s="111"/>
      <c r="C50" s="108"/>
      <c r="D50" s="117"/>
      <c r="E50" s="116"/>
      <c r="F50" s="120">
        <v>8.2503848845346184</v>
      </c>
      <c r="G50" s="119">
        <f>Path!D3-TH!D18</f>
        <v>-1.1937117960769683E-12</v>
      </c>
      <c r="H50" s="117"/>
      <c r="I50" s="118"/>
      <c r="J50" s="108"/>
      <c r="K50" s="110"/>
    </row>
    <row r="51" spans="2:11" x14ac:dyDescent="0.2">
      <c r="B51" s="111" t="str">
        <f>I13</f>
        <v>Panel I (4th inside)</v>
      </c>
      <c r="C51" s="108"/>
      <c r="D51" s="115">
        <v>1.2</v>
      </c>
      <c r="E51" s="116">
        <f>E42</f>
        <v>57.160000000000004</v>
      </c>
      <c r="F51" s="120">
        <v>50.315736235370657</v>
      </c>
      <c r="G51" s="119">
        <f>Path!AD69</f>
        <v>5.4824566973366018E-5</v>
      </c>
      <c r="H51" s="117">
        <v>1</v>
      </c>
      <c r="I51" s="118">
        <f t="shared" si="3"/>
        <v>3.4512569798565442</v>
      </c>
      <c r="J51" s="108"/>
      <c r="K51" s="110"/>
    </row>
    <row r="52" spans="2:11" x14ac:dyDescent="0.2">
      <c r="B52" s="111"/>
      <c r="C52" s="108"/>
      <c r="D52" s="108"/>
      <c r="E52" s="108"/>
      <c r="F52" s="120">
        <v>15.86217137546091</v>
      </c>
      <c r="G52" s="119">
        <f>Path!AD54</f>
        <v>6.7187811521307594E-4</v>
      </c>
      <c r="H52" s="108"/>
      <c r="I52" s="108"/>
      <c r="J52" s="108"/>
      <c r="K52" s="110"/>
    </row>
    <row r="53" spans="2:11" x14ac:dyDescent="0.2">
      <c r="B53" s="111" t="str">
        <f>I14</f>
        <v>Panel J (5th inside)</v>
      </c>
      <c r="C53" s="108"/>
      <c r="D53" s="115">
        <v>1.2</v>
      </c>
      <c r="E53" s="116">
        <f>E44</f>
        <v>57.160000000000004</v>
      </c>
      <c r="F53" s="120">
        <v>48.748664423020479</v>
      </c>
      <c r="G53" s="119">
        <f>Path!AD93</f>
        <v>3.6444134821067564E-8</v>
      </c>
      <c r="H53" s="117">
        <v>1</v>
      </c>
      <c r="I53" s="118">
        <f t="shared" ref="I53" si="4">F53*E53*D53*H53/10^3</f>
        <v>3.3437683901038207</v>
      </c>
      <c r="J53" s="108"/>
      <c r="K53" s="110"/>
    </row>
    <row r="54" spans="2:11" x14ac:dyDescent="0.2">
      <c r="B54" s="111"/>
      <c r="C54" s="108"/>
      <c r="D54" s="108"/>
      <c r="E54" s="108"/>
      <c r="F54" s="108"/>
      <c r="G54" s="108"/>
      <c r="H54" s="108"/>
      <c r="I54" s="108"/>
      <c r="J54" s="108"/>
      <c r="K54" s="110"/>
    </row>
    <row r="55" spans="2:11" x14ac:dyDescent="0.2">
      <c r="B55" s="111"/>
      <c r="C55" s="108"/>
      <c r="D55" s="108"/>
      <c r="E55" s="108"/>
      <c r="F55" s="108"/>
      <c r="G55" s="108"/>
      <c r="H55" s="108"/>
      <c r="I55" s="108"/>
      <c r="J55" s="108"/>
      <c r="K55" s="110"/>
    </row>
    <row r="56" spans="2:11" ht="12" thickBot="1" x14ac:dyDescent="0.25">
      <c r="B56" s="121"/>
      <c r="C56" s="122"/>
      <c r="D56" s="123"/>
      <c r="E56" s="124"/>
      <c r="F56" s="122"/>
      <c r="G56" s="122"/>
      <c r="H56" s="124" t="s">
        <v>41</v>
      </c>
      <c r="I56" s="125">
        <f>SUM(I42:I51)</f>
        <v>82.612225569928555</v>
      </c>
      <c r="J56" s="124" t="s">
        <v>19</v>
      </c>
      <c r="K56" s="126"/>
    </row>
    <row r="57" spans="2:11" ht="12" thickBot="1" x14ac:dyDescent="0.25"/>
    <row r="58" spans="2:11" ht="12" thickBot="1" x14ac:dyDescent="0.25">
      <c r="B58" s="75" t="s">
        <v>74</v>
      </c>
      <c r="C58" s="76" t="s">
        <v>0</v>
      </c>
      <c r="D58" s="127">
        <v>7400</v>
      </c>
      <c r="E58" s="61" t="s">
        <v>75</v>
      </c>
    </row>
    <row r="59" spans="2:11" ht="12" thickBot="1" x14ac:dyDescent="0.25">
      <c r="B59" s="75" t="s">
        <v>76</v>
      </c>
      <c r="C59" s="82" t="s">
        <v>0</v>
      </c>
      <c r="D59" s="127">
        <v>0</v>
      </c>
      <c r="E59" s="61" t="s">
        <v>75</v>
      </c>
    </row>
    <row r="60" spans="2:11" ht="12" thickBot="1" x14ac:dyDescent="0.25">
      <c r="B60" s="128" t="s">
        <v>77</v>
      </c>
      <c r="C60" s="129" t="s">
        <v>0</v>
      </c>
      <c r="D60" s="130">
        <f>D58-D59</f>
        <v>7400</v>
      </c>
      <c r="E60" s="61" t="s">
        <v>18</v>
      </c>
    </row>
    <row r="61" spans="2:11" ht="12" thickBot="1" x14ac:dyDescent="0.25"/>
    <row r="62" spans="2:11" ht="12" thickBot="1" x14ac:dyDescent="0.25">
      <c r="B62" s="218" t="s">
        <v>129</v>
      </c>
      <c r="C62" s="234" t="s">
        <v>0</v>
      </c>
      <c r="D62" s="259">
        <v>0.49209996710956766</v>
      </c>
      <c r="E62" s="178">
        <f>Path!R3</f>
        <v>2.6692014216678217E-6</v>
      </c>
    </row>
    <row r="65" spans="2:18" x14ac:dyDescent="0.2">
      <c r="B65" s="131" t="s">
        <v>78</v>
      </c>
      <c r="C65" s="132" t="s">
        <v>0</v>
      </c>
      <c r="D65" s="292" t="s">
        <v>79</v>
      </c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6"/>
    </row>
    <row r="66" spans="2:18" x14ac:dyDescent="0.2">
      <c r="I66" s="133"/>
      <c r="J66" s="133"/>
    </row>
    <row r="67" spans="2:18" x14ac:dyDescent="0.2">
      <c r="B67" s="131" t="s">
        <v>80</v>
      </c>
      <c r="C67" s="132" t="s">
        <v>0</v>
      </c>
      <c r="D67" s="293" t="s">
        <v>81</v>
      </c>
      <c r="E67" s="294"/>
      <c r="F67" s="294"/>
      <c r="G67" s="294"/>
      <c r="H67" s="295"/>
      <c r="I67" s="133"/>
      <c r="J67" s="134" t="str">
        <f>CONCATENATE(B67,C67,D67)</f>
        <v>ID=29.00</v>
      </c>
    </row>
    <row r="68" spans="2:18" x14ac:dyDescent="0.2">
      <c r="B68" s="131" t="s">
        <v>82</v>
      </c>
      <c r="C68" s="132" t="s">
        <v>0</v>
      </c>
      <c r="D68" s="293" t="s">
        <v>83</v>
      </c>
      <c r="E68" s="294"/>
      <c r="F68" s="294"/>
      <c r="G68" s="294"/>
      <c r="H68" s="295"/>
      <c r="I68" s="133"/>
      <c r="J68" s="134" t="str">
        <f t="shared" ref="J68:J104" si="5">CONCATENATE(B68,C68,D68)</f>
        <v>Ang=2.0 x PI</v>
      </c>
    </row>
    <row r="69" spans="2:18" x14ac:dyDescent="0.2">
      <c r="B69" s="131" t="s">
        <v>84</v>
      </c>
      <c r="C69" s="132" t="s">
        <v>0</v>
      </c>
      <c r="D69" s="286">
        <v>2.83</v>
      </c>
      <c r="E69" s="287"/>
      <c r="F69" s="287"/>
      <c r="G69" s="287"/>
      <c r="H69" s="288"/>
      <c r="I69" s="133"/>
      <c r="J69" s="134" t="str">
        <f t="shared" si="5"/>
        <v>Eg=2.83</v>
      </c>
    </row>
    <row r="70" spans="2:18" x14ac:dyDescent="0.2">
      <c r="B70" s="131" t="s">
        <v>85</v>
      </c>
      <c r="C70" s="132" t="s">
        <v>0</v>
      </c>
      <c r="D70" s="286">
        <v>0</v>
      </c>
      <c r="E70" s="287"/>
      <c r="F70" s="287"/>
      <c r="G70" s="287"/>
      <c r="H70" s="288"/>
      <c r="J70" s="134" t="str">
        <f t="shared" si="5"/>
        <v>Rg=0</v>
      </c>
    </row>
    <row r="71" spans="2:18" x14ac:dyDescent="0.2">
      <c r="B71" s="131" t="s">
        <v>86</v>
      </c>
      <c r="C71" s="132" t="s">
        <v>0</v>
      </c>
      <c r="D71" s="271">
        <v>0</v>
      </c>
      <c r="E71" s="272"/>
      <c r="F71" s="272"/>
      <c r="G71" s="272"/>
      <c r="H71" s="273"/>
      <c r="J71" s="134" t="str">
        <f t="shared" si="5"/>
        <v>Fta=0</v>
      </c>
    </row>
    <row r="72" spans="2:18" x14ac:dyDescent="0.2">
      <c r="B72" s="131" t="s">
        <v>13</v>
      </c>
      <c r="C72" s="132" t="s">
        <v>0</v>
      </c>
      <c r="D72" s="281">
        <f>ROUND(D18,0)</f>
        <v>403</v>
      </c>
      <c r="E72" s="284"/>
      <c r="F72" s="284"/>
      <c r="G72" s="284"/>
      <c r="H72" s="285"/>
      <c r="J72" s="134" t="str">
        <f t="shared" si="5"/>
        <v>S1=403</v>
      </c>
    </row>
    <row r="73" spans="2:18" x14ac:dyDescent="0.2">
      <c r="B73" s="131" t="s">
        <v>37</v>
      </c>
      <c r="C73" s="132" t="s">
        <v>0</v>
      </c>
      <c r="D73" s="281">
        <f>ROUND(D19,0)</f>
        <v>403</v>
      </c>
      <c r="E73" s="284"/>
      <c r="F73" s="284"/>
      <c r="G73" s="284"/>
      <c r="H73" s="285"/>
      <c r="J73" s="134" t="str">
        <f t="shared" si="5"/>
        <v>S2=403</v>
      </c>
    </row>
    <row r="74" spans="2:18" x14ac:dyDescent="0.2">
      <c r="B74" s="219" t="str">
        <f>D30</f>
        <v>Par</v>
      </c>
      <c r="C74" s="132" t="s">
        <v>0</v>
      </c>
      <c r="D74" s="277">
        <f>ROUND(D23,1)</f>
        <v>31.6</v>
      </c>
      <c r="E74" s="272"/>
      <c r="F74" s="272"/>
      <c r="G74" s="272"/>
      <c r="H74" s="273"/>
      <c r="J74" s="134" t="str">
        <f t="shared" si="5"/>
        <v>Par=31.6</v>
      </c>
    </row>
    <row r="75" spans="2:18" x14ac:dyDescent="0.2">
      <c r="B75" s="131" t="s">
        <v>88</v>
      </c>
      <c r="C75" s="132" t="s">
        <v>0</v>
      </c>
      <c r="D75" s="271">
        <v>0</v>
      </c>
      <c r="E75" s="272"/>
      <c r="F75" s="272"/>
      <c r="G75" s="272"/>
      <c r="H75" s="273"/>
      <c r="J75" s="134" t="str">
        <f t="shared" si="5"/>
        <v>F12=0</v>
      </c>
    </row>
    <row r="76" spans="2:18" x14ac:dyDescent="0.2">
      <c r="B76" s="131" t="s">
        <v>37</v>
      </c>
      <c r="C76" s="132" t="s">
        <v>0</v>
      </c>
      <c r="D76" s="281">
        <f>ROUND(D73,0)</f>
        <v>403</v>
      </c>
      <c r="E76" s="284"/>
      <c r="F76" s="284"/>
      <c r="G76" s="284"/>
      <c r="H76" s="285"/>
      <c r="J76" s="134" t="str">
        <f t="shared" si="5"/>
        <v>S2=403</v>
      </c>
    </row>
    <row r="77" spans="2:18" x14ac:dyDescent="0.2">
      <c r="B77" s="131" t="s">
        <v>44</v>
      </c>
      <c r="C77" s="132" t="s">
        <v>0</v>
      </c>
      <c r="D77" s="281">
        <f>ROUND(D20,0)</f>
        <v>1814</v>
      </c>
      <c r="E77" s="284"/>
      <c r="F77" s="284"/>
      <c r="G77" s="284"/>
      <c r="H77" s="285"/>
      <c r="J77" s="134" t="str">
        <f t="shared" si="5"/>
        <v>S3=1814</v>
      </c>
    </row>
    <row r="78" spans="2:18" x14ac:dyDescent="0.2">
      <c r="B78" s="219" t="str">
        <f>D31</f>
        <v>Exp</v>
      </c>
      <c r="C78" s="132" t="s">
        <v>0</v>
      </c>
      <c r="D78" s="277">
        <f>ROUND(D24,1)</f>
        <v>294.89999999999998</v>
      </c>
      <c r="E78" s="272"/>
      <c r="F78" s="272"/>
      <c r="G78" s="272"/>
      <c r="H78" s="273"/>
      <c r="J78" s="134" t="str">
        <f t="shared" si="5"/>
        <v>Exp=294.9</v>
      </c>
    </row>
    <row r="79" spans="2:18" x14ac:dyDescent="0.2">
      <c r="B79" s="131" t="s">
        <v>89</v>
      </c>
      <c r="C79" s="132" t="s">
        <v>0</v>
      </c>
      <c r="D79" s="271">
        <v>0</v>
      </c>
      <c r="E79" s="272"/>
      <c r="F79" s="272"/>
      <c r="G79" s="272"/>
      <c r="H79" s="273"/>
      <c r="J79" s="134" t="str">
        <f t="shared" si="5"/>
        <v>F23=0</v>
      </c>
    </row>
    <row r="80" spans="2:18" x14ac:dyDescent="0.2">
      <c r="B80" s="131" t="s">
        <v>44</v>
      </c>
      <c r="C80" s="132" t="s">
        <v>0</v>
      </c>
      <c r="D80" s="281">
        <f>D77</f>
        <v>1814</v>
      </c>
      <c r="E80" s="284"/>
      <c r="F80" s="284"/>
      <c r="G80" s="284"/>
      <c r="H80" s="285"/>
      <c r="J80" s="134" t="str">
        <f t="shared" si="5"/>
        <v>S3=1814</v>
      </c>
    </row>
    <row r="81" spans="2:10" x14ac:dyDescent="0.2">
      <c r="B81" s="131" t="s">
        <v>14</v>
      </c>
      <c r="C81" s="132" t="s">
        <v>0</v>
      </c>
      <c r="D81" s="281">
        <f>ROUND(D21,0)</f>
        <v>1944</v>
      </c>
      <c r="E81" s="284"/>
      <c r="F81" s="284"/>
      <c r="G81" s="284"/>
      <c r="H81" s="285"/>
      <c r="J81" s="134" t="str">
        <f t="shared" si="5"/>
        <v>S4=1944</v>
      </c>
    </row>
    <row r="82" spans="2:10" x14ac:dyDescent="0.2">
      <c r="B82" s="219" t="str">
        <f>D32</f>
        <v>Par</v>
      </c>
      <c r="C82" s="132" t="s">
        <v>0</v>
      </c>
      <c r="D82" s="277">
        <f>ROUND(D25,1)</f>
        <v>27.3</v>
      </c>
      <c r="E82" s="272"/>
      <c r="F82" s="272"/>
      <c r="G82" s="272"/>
      <c r="H82" s="273"/>
      <c r="J82" s="134" t="str">
        <f t="shared" si="5"/>
        <v>Par=27.3</v>
      </c>
    </row>
    <row r="83" spans="2:10" x14ac:dyDescent="0.2">
      <c r="B83" s="131" t="s">
        <v>90</v>
      </c>
      <c r="C83" s="132" t="s">
        <v>0</v>
      </c>
      <c r="D83" s="271">
        <v>0</v>
      </c>
      <c r="E83" s="272"/>
      <c r="F83" s="272"/>
      <c r="G83" s="272"/>
      <c r="H83" s="273"/>
      <c r="J83" s="134" t="str">
        <f t="shared" si="5"/>
        <v>F34=0</v>
      </c>
    </row>
    <row r="84" spans="2:10" x14ac:dyDescent="0.2">
      <c r="B84" s="131" t="s">
        <v>14</v>
      </c>
      <c r="C84" s="132" t="s">
        <v>0</v>
      </c>
      <c r="D84" s="281">
        <f>D81</f>
        <v>1944</v>
      </c>
      <c r="E84" s="272"/>
      <c r="F84" s="272"/>
      <c r="G84" s="272"/>
      <c r="H84" s="273"/>
      <c r="J84" s="134" t="str">
        <f t="shared" si="5"/>
        <v>S4=1944</v>
      </c>
    </row>
    <row r="85" spans="2:10" x14ac:dyDescent="0.2">
      <c r="B85" s="131" t="s">
        <v>45</v>
      </c>
      <c r="C85" s="132" t="s">
        <v>0</v>
      </c>
      <c r="D85" s="281">
        <f>ROUND(D22,0)</f>
        <v>2083</v>
      </c>
      <c r="E85" s="272"/>
      <c r="F85" s="272"/>
      <c r="G85" s="272"/>
      <c r="H85" s="273"/>
      <c r="J85" s="134" t="str">
        <f t="shared" si="5"/>
        <v>S5=2083</v>
      </c>
    </row>
    <row r="86" spans="2:10" x14ac:dyDescent="0.2">
      <c r="B86" s="219" t="str">
        <f>D33</f>
        <v>Par</v>
      </c>
      <c r="C86" s="132" t="s">
        <v>0</v>
      </c>
      <c r="D86" s="277">
        <f>ROUND(D26,1)</f>
        <v>29.1</v>
      </c>
      <c r="E86" s="282"/>
      <c r="F86" s="282"/>
      <c r="G86" s="282"/>
      <c r="H86" s="283"/>
      <c r="J86" s="134" t="str">
        <f t="shared" si="5"/>
        <v>Par=29.1</v>
      </c>
    </row>
    <row r="87" spans="2:10" x14ac:dyDescent="0.2">
      <c r="B87" s="131" t="s">
        <v>91</v>
      </c>
      <c r="C87" s="132" t="s">
        <v>0</v>
      </c>
      <c r="D87" s="271">
        <v>0</v>
      </c>
      <c r="E87" s="272"/>
      <c r="F87" s="272"/>
      <c r="G87" s="272"/>
      <c r="H87" s="273"/>
      <c r="J87" s="134" t="str">
        <f t="shared" si="5"/>
        <v>F45=0</v>
      </c>
    </row>
    <row r="88" spans="2:10" x14ac:dyDescent="0.2">
      <c r="B88" s="131" t="s">
        <v>92</v>
      </c>
      <c r="C88" s="132" t="s">
        <v>0</v>
      </c>
      <c r="D88" s="274">
        <v>1680</v>
      </c>
      <c r="E88" s="275"/>
      <c r="F88" s="275"/>
      <c r="G88" s="275"/>
      <c r="H88" s="276"/>
      <c r="J88" s="134" t="str">
        <f t="shared" si="5"/>
        <v>Sd=1680</v>
      </c>
    </row>
    <row r="89" spans="2:10" x14ac:dyDescent="0.2">
      <c r="B89" s="131" t="s">
        <v>93</v>
      </c>
      <c r="C89" s="132" t="s">
        <v>0</v>
      </c>
      <c r="D89" s="274">
        <v>32.57</v>
      </c>
      <c r="E89" s="275"/>
      <c r="F89" s="275"/>
      <c r="G89" s="275"/>
      <c r="H89" s="276"/>
      <c r="J89" s="134" t="str">
        <f t="shared" si="5"/>
        <v>Bl=32.57</v>
      </c>
    </row>
    <row r="90" spans="2:10" x14ac:dyDescent="0.2">
      <c r="B90" s="131" t="s">
        <v>94</v>
      </c>
      <c r="C90" s="132" t="s">
        <v>0</v>
      </c>
      <c r="D90" s="278">
        <v>5.3499999999999999E-5</v>
      </c>
      <c r="E90" s="279"/>
      <c r="F90" s="279"/>
      <c r="G90" s="279"/>
      <c r="H90" s="280"/>
      <c r="J90" s="134" t="str">
        <f t="shared" si="5"/>
        <v>Cms=0.0000535</v>
      </c>
    </row>
    <row r="91" spans="2:10" x14ac:dyDescent="0.2">
      <c r="B91" s="131" t="s">
        <v>95</v>
      </c>
      <c r="C91" s="132" t="s">
        <v>0</v>
      </c>
      <c r="D91" s="274">
        <v>13.2</v>
      </c>
      <c r="E91" s="275"/>
      <c r="F91" s="275"/>
      <c r="G91" s="275"/>
      <c r="H91" s="276"/>
      <c r="J91" s="134" t="str">
        <f t="shared" si="5"/>
        <v>Rms=13.2</v>
      </c>
    </row>
    <row r="92" spans="2:10" x14ac:dyDescent="0.2">
      <c r="B92" s="131" t="s">
        <v>96</v>
      </c>
      <c r="C92" s="132" t="s">
        <v>0</v>
      </c>
      <c r="D92" s="274">
        <v>422.82</v>
      </c>
      <c r="E92" s="275"/>
      <c r="F92" s="275"/>
      <c r="G92" s="275"/>
      <c r="H92" s="276"/>
      <c r="J92" s="134" t="str">
        <f t="shared" si="5"/>
        <v>Mmd=422.82</v>
      </c>
    </row>
    <row r="93" spans="2:10" x14ac:dyDescent="0.2">
      <c r="B93" s="131" t="s">
        <v>97</v>
      </c>
      <c r="C93" s="132" t="s">
        <v>0</v>
      </c>
      <c r="D93" s="274">
        <v>1.5</v>
      </c>
      <c r="E93" s="275"/>
      <c r="F93" s="275"/>
      <c r="G93" s="275"/>
      <c r="H93" s="276"/>
      <c r="J93" s="134" t="str">
        <f t="shared" si="5"/>
        <v>Le=1.5</v>
      </c>
    </row>
    <row r="94" spans="2:10" x14ac:dyDescent="0.2">
      <c r="B94" s="131" t="s">
        <v>98</v>
      </c>
      <c r="C94" s="132" t="s">
        <v>0</v>
      </c>
      <c r="D94" s="274">
        <v>3.4</v>
      </c>
      <c r="E94" s="275"/>
      <c r="F94" s="275"/>
      <c r="G94" s="275"/>
      <c r="H94" s="276"/>
      <c r="J94" s="134" t="str">
        <f t="shared" si="5"/>
        <v>Re=3.4</v>
      </c>
    </row>
    <row r="95" spans="2:10" x14ac:dyDescent="0.2">
      <c r="B95" s="131" t="s">
        <v>99</v>
      </c>
      <c r="C95" s="132" t="s">
        <v>0</v>
      </c>
      <c r="D95" s="271">
        <v>1</v>
      </c>
      <c r="E95" s="272"/>
      <c r="F95" s="272"/>
      <c r="G95" s="272"/>
      <c r="H95" s="273"/>
      <c r="J95" s="134" t="str">
        <f t="shared" si="5"/>
        <v>TH=1</v>
      </c>
    </row>
    <row r="96" spans="2:10" x14ac:dyDescent="0.2">
      <c r="B96" s="131" t="s">
        <v>100</v>
      </c>
      <c r="C96" s="132" t="s">
        <v>0</v>
      </c>
      <c r="D96" s="271">
        <v>0</v>
      </c>
      <c r="E96" s="272"/>
      <c r="F96" s="272"/>
      <c r="G96" s="272"/>
      <c r="H96" s="273"/>
      <c r="J96" s="134" t="str">
        <f t="shared" si="5"/>
        <v>Vrc=0</v>
      </c>
    </row>
    <row r="97" spans="2:10" x14ac:dyDescent="0.2">
      <c r="B97" s="131" t="s">
        <v>101</v>
      </c>
      <c r="C97" s="132" t="s">
        <v>0</v>
      </c>
      <c r="D97" s="271">
        <v>0</v>
      </c>
      <c r="E97" s="272"/>
      <c r="F97" s="272"/>
      <c r="G97" s="272"/>
      <c r="H97" s="273"/>
      <c r="J97" s="134" t="str">
        <f t="shared" si="5"/>
        <v>Lrc=0</v>
      </c>
    </row>
    <row r="98" spans="2:10" x14ac:dyDescent="0.2">
      <c r="B98" s="131" t="s">
        <v>102</v>
      </c>
      <c r="C98" s="132" t="s">
        <v>0</v>
      </c>
      <c r="D98" s="277">
        <v>0</v>
      </c>
      <c r="E98" s="272"/>
      <c r="F98" s="272"/>
      <c r="G98" s="272"/>
      <c r="H98" s="273"/>
      <c r="J98" s="134" t="str">
        <f t="shared" si="5"/>
        <v>Ap1=0</v>
      </c>
    </row>
    <row r="99" spans="2:10" x14ac:dyDescent="0.2">
      <c r="B99" s="131" t="s">
        <v>103</v>
      </c>
      <c r="C99" s="132" t="s">
        <v>0</v>
      </c>
      <c r="D99" s="277">
        <v>0</v>
      </c>
      <c r="E99" s="272"/>
      <c r="F99" s="272"/>
      <c r="G99" s="272"/>
      <c r="H99" s="273"/>
      <c r="J99" s="134" t="str">
        <f t="shared" si="5"/>
        <v>Lp=0</v>
      </c>
    </row>
    <row r="100" spans="2:10" x14ac:dyDescent="0.2">
      <c r="B100" s="131" t="s">
        <v>104</v>
      </c>
      <c r="C100" s="132" t="s">
        <v>0</v>
      </c>
      <c r="D100" s="277">
        <f>D60</f>
        <v>7400</v>
      </c>
      <c r="E100" s="272"/>
      <c r="F100" s="272"/>
      <c r="G100" s="272"/>
      <c r="H100" s="273"/>
      <c r="J100" s="134" t="str">
        <f t="shared" si="5"/>
        <v>Vtc=7400</v>
      </c>
    </row>
    <row r="101" spans="2:10" x14ac:dyDescent="0.2">
      <c r="B101" s="131" t="s">
        <v>105</v>
      </c>
      <c r="C101" s="132" t="s">
        <v>0</v>
      </c>
      <c r="D101" s="271">
        <f>D88</f>
        <v>1680</v>
      </c>
      <c r="E101" s="272"/>
      <c r="F101" s="272"/>
      <c r="G101" s="272"/>
      <c r="H101" s="273"/>
      <c r="J101" s="134" t="str">
        <f t="shared" si="5"/>
        <v>Atc=1680</v>
      </c>
    </row>
    <row r="102" spans="2:10" x14ac:dyDescent="0.2">
      <c r="B102" s="131" t="s">
        <v>106</v>
      </c>
      <c r="C102" s="132" t="s">
        <v>0</v>
      </c>
      <c r="D102" s="274">
        <v>2000</v>
      </c>
      <c r="E102" s="275"/>
      <c r="F102" s="275"/>
      <c r="G102" s="275"/>
      <c r="H102" s="276"/>
      <c r="J102" s="134" t="str">
        <f t="shared" si="5"/>
        <v>Pmax=2000</v>
      </c>
    </row>
    <row r="103" spans="2:10" x14ac:dyDescent="0.2">
      <c r="B103" s="131" t="s">
        <v>107</v>
      </c>
      <c r="C103" s="132" t="s">
        <v>0</v>
      </c>
      <c r="D103" s="274">
        <v>15</v>
      </c>
      <c r="E103" s="275"/>
      <c r="F103" s="275"/>
      <c r="G103" s="275"/>
      <c r="H103" s="276"/>
      <c r="J103" s="134" t="str">
        <f t="shared" si="5"/>
        <v>Xmax=15</v>
      </c>
    </row>
    <row r="104" spans="2:10" x14ac:dyDescent="0.2">
      <c r="B104" s="131" t="s">
        <v>108</v>
      </c>
      <c r="C104" s="132" t="s">
        <v>0</v>
      </c>
      <c r="D104" s="274" t="s">
        <v>122</v>
      </c>
      <c r="E104" s="275"/>
      <c r="F104" s="275"/>
      <c r="G104" s="275"/>
      <c r="H104" s="276"/>
      <c r="J104" s="134" t="str">
        <f t="shared" si="5"/>
        <v>Comment=BOXPLAN-Export Othorn TH</v>
      </c>
    </row>
    <row r="211" spans="2:7" x14ac:dyDescent="0.2">
      <c r="B211" s="135"/>
      <c r="C211" s="136"/>
      <c r="D211" s="133"/>
    </row>
    <row r="212" spans="2:7" x14ac:dyDescent="0.2">
      <c r="B212" s="135"/>
      <c r="C212" s="136"/>
      <c r="D212" s="133"/>
    </row>
    <row r="213" spans="2:7" x14ac:dyDescent="0.2">
      <c r="B213" s="135"/>
      <c r="C213" s="136"/>
      <c r="D213" s="137"/>
    </row>
    <row r="214" spans="2:7" x14ac:dyDescent="0.2">
      <c r="B214" s="135"/>
      <c r="D214" s="137"/>
    </row>
    <row r="215" spans="2:7" x14ac:dyDescent="0.2">
      <c r="D215" s="137"/>
      <c r="F215" s="137"/>
    </row>
    <row r="216" spans="2:7" x14ac:dyDescent="0.2">
      <c r="D216" s="137"/>
      <c r="F216" s="137"/>
    </row>
    <row r="217" spans="2:7" x14ac:dyDescent="0.2">
      <c r="F217" s="137"/>
    </row>
    <row r="219" spans="2:7" x14ac:dyDescent="0.2">
      <c r="F219" s="137"/>
      <c r="G219" s="137"/>
    </row>
    <row r="220" spans="2:7" x14ac:dyDescent="0.2">
      <c r="F220" s="137"/>
    </row>
    <row r="221" spans="2:7" x14ac:dyDescent="0.2">
      <c r="F221" s="137"/>
    </row>
    <row r="238" spans="11:11" x14ac:dyDescent="0.2">
      <c r="K238" s="137"/>
    </row>
    <row r="244" spans="11:11" x14ac:dyDescent="0.2">
      <c r="K244" s="137"/>
    </row>
    <row r="252" spans="11:11" x14ac:dyDescent="0.2">
      <c r="K252" s="137"/>
    </row>
    <row r="269" spans="10:10" x14ac:dyDescent="0.2">
      <c r="J269" s="137"/>
    </row>
    <row r="272" spans="10:10" x14ac:dyDescent="0.2">
      <c r="J272" s="138"/>
    </row>
    <row r="274" spans="4:26" x14ac:dyDescent="0.2">
      <c r="D274" s="137"/>
      <c r="F274" s="138"/>
    </row>
    <row r="275" spans="4:26" x14ac:dyDescent="0.2">
      <c r="F275" s="138"/>
    </row>
    <row r="280" spans="4:26" x14ac:dyDescent="0.2">
      <c r="I280" s="133"/>
      <c r="J280" s="133"/>
    </row>
    <row r="281" spans="4:26" x14ac:dyDescent="0.2">
      <c r="I281" s="133"/>
      <c r="J281" s="133"/>
    </row>
    <row r="282" spans="4:26" x14ac:dyDescent="0.2">
      <c r="I282" s="133"/>
      <c r="J282" s="133"/>
    </row>
    <row r="283" spans="4:26" x14ac:dyDescent="0.2">
      <c r="I283" s="133"/>
      <c r="J283" s="133"/>
    </row>
    <row r="284" spans="4:26" x14ac:dyDescent="0.2">
      <c r="I284" s="133"/>
      <c r="J284" s="133"/>
      <c r="Z284" s="137"/>
    </row>
    <row r="285" spans="4:26" x14ac:dyDescent="0.2">
      <c r="I285" s="133"/>
      <c r="J285" s="133"/>
      <c r="Y285" s="137"/>
    </row>
    <row r="286" spans="4:26" x14ac:dyDescent="0.2">
      <c r="I286" s="133"/>
      <c r="J286" s="133"/>
    </row>
    <row r="287" spans="4:26" x14ac:dyDescent="0.2">
      <c r="I287" s="133"/>
      <c r="J287" s="133"/>
    </row>
    <row r="288" spans="4:26" x14ac:dyDescent="0.2">
      <c r="I288" s="133"/>
      <c r="J288" s="133"/>
    </row>
    <row r="289" spans="9:10" x14ac:dyDescent="0.2">
      <c r="I289" s="133"/>
      <c r="J289" s="133"/>
    </row>
    <row r="395" spans="30:40" x14ac:dyDescent="0.2">
      <c r="AD395" s="137"/>
      <c r="AE395" s="137"/>
      <c r="AF395" s="137"/>
      <c r="AG395" s="137"/>
      <c r="AH395" s="137"/>
      <c r="AJ395" s="137"/>
      <c r="AK395" s="137"/>
      <c r="AM395" s="137"/>
      <c r="AN395" s="137"/>
    </row>
    <row r="396" spans="30:40" x14ac:dyDescent="0.2">
      <c r="AD396" s="137"/>
      <c r="AE396" s="137"/>
      <c r="AF396" s="137"/>
      <c r="AG396" s="137"/>
      <c r="AH396" s="137"/>
      <c r="AJ396" s="137"/>
      <c r="AK396" s="137"/>
      <c r="AM396" s="137"/>
      <c r="AN396" s="137"/>
    </row>
    <row r="397" spans="30:40" x14ac:dyDescent="0.2">
      <c r="AD397" s="137"/>
      <c r="AE397" s="137"/>
      <c r="AF397" s="137"/>
      <c r="AG397" s="137"/>
      <c r="AH397" s="137"/>
      <c r="AJ397" s="137"/>
      <c r="AK397" s="137"/>
    </row>
    <row r="398" spans="30:40" x14ac:dyDescent="0.2">
      <c r="AD398" s="137"/>
      <c r="AE398" s="137"/>
      <c r="AM398" s="137"/>
      <c r="AN398" s="137"/>
    </row>
    <row r="399" spans="30:40" x14ac:dyDescent="0.2">
      <c r="AD399" s="137"/>
      <c r="AE399" s="137"/>
      <c r="AM399" s="137"/>
      <c r="AN399" s="137"/>
    </row>
    <row r="400" spans="30:40" x14ac:dyDescent="0.2">
      <c r="AD400" s="137"/>
      <c r="AE400" s="137"/>
    </row>
    <row r="401" spans="30:40" x14ac:dyDescent="0.2">
      <c r="AD401" s="137"/>
      <c r="AE401" s="137"/>
      <c r="AM401" s="137"/>
      <c r="AN401" s="137"/>
    </row>
    <row r="402" spans="30:40" x14ac:dyDescent="0.2">
      <c r="AD402" s="137"/>
      <c r="AE402" s="137"/>
      <c r="AM402" s="137"/>
      <c r="AN402" s="137"/>
    </row>
    <row r="404" spans="30:40" x14ac:dyDescent="0.2">
      <c r="AD404" s="137"/>
      <c r="AE404" s="137"/>
      <c r="AF404" s="135"/>
      <c r="AG404" s="135"/>
      <c r="AH404" s="135"/>
      <c r="AM404" s="137"/>
      <c r="AN404" s="137"/>
    </row>
    <row r="405" spans="30:40" x14ac:dyDescent="0.2">
      <c r="AD405" s="137"/>
      <c r="AE405" s="137"/>
      <c r="AF405" s="133"/>
      <c r="AG405" s="133"/>
      <c r="AH405" s="133"/>
      <c r="AM405" s="137"/>
      <c r="AN405" s="137"/>
    </row>
    <row r="406" spans="30:40" x14ac:dyDescent="0.2">
      <c r="AD406" s="137"/>
      <c r="AE406" s="137"/>
      <c r="AF406" s="133"/>
      <c r="AG406" s="133"/>
      <c r="AH406" s="133"/>
    </row>
    <row r="407" spans="30:40" x14ac:dyDescent="0.2">
      <c r="AD407" s="137"/>
      <c r="AE407" s="137"/>
      <c r="AF407" s="133"/>
      <c r="AG407" s="133"/>
      <c r="AH407" s="133"/>
      <c r="AM407" s="137"/>
      <c r="AN407" s="137"/>
    </row>
    <row r="408" spans="30:40" x14ac:dyDescent="0.2">
      <c r="AD408" s="137"/>
      <c r="AE408" s="137"/>
      <c r="AF408" s="133"/>
      <c r="AG408" s="133"/>
      <c r="AH408" s="133"/>
      <c r="AM408" s="137"/>
      <c r="AN408" s="137"/>
    </row>
    <row r="410" spans="30:40" x14ac:dyDescent="0.2">
      <c r="AD410" s="137"/>
      <c r="AE410" s="137"/>
      <c r="AF410" s="135"/>
      <c r="AG410" s="135"/>
      <c r="AH410" s="135"/>
      <c r="AM410" s="137"/>
      <c r="AN410" s="137"/>
    </row>
    <row r="411" spans="30:40" x14ac:dyDescent="0.2">
      <c r="AD411" s="137"/>
      <c r="AE411" s="137"/>
      <c r="AF411" s="133"/>
      <c r="AG411" s="133"/>
      <c r="AH411" s="133"/>
      <c r="AM411" s="137"/>
      <c r="AN411" s="137"/>
    </row>
    <row r="412" spans="30:40" x14ac:dyDescent="0.2">
      <c r="AD412" s="137"/>
      <c r="AE412" s="137"/>
      <c r="AF412" s="133"/>
      <c r="AG412" s="133"/>
      <c r="AH412" s="133"/>
    </row>
    <row r="413" spans="30:40" x14ac:dyDescent="0.2">
      <c r="AD413" s="137"/>
      <c r="AE413" s="137"/>
      <c r="AF413" s="133"/>
      <c r="AG413" s="133"/>
      <c r="AH413" s="133"/>
      <c r="AM413" s="137"/>
      <c r="AN413" s="137"/>
    </row>
    <row r="414" spans="30:40" x14ac:dyDescent="0.2">
      <c r="AD414" s="137"/>
      <c r="AE414" s="137"/>
      <c r="AF414" s="133"/>
      <c r="AG414" s="133"/>
      <c r="AH414" s="133"/>
      <c r="AM414" s="137"/>
      <c r="AN414" s="137"/>
    </row>
    <row r="416" spans="30:40" x14ac:dyDescent="0.2">
      <c r="AD416" s="137"/>
      <c r="AE416" s="137"/>
      <c r="AF416" s="135"/>
      <c r="AG416" s="135"/>
      <c r="AH416" s="135"/>
      <c r="AM416" s="137"/>
      <c r="AN416" s="137"/>
    </row>
    <row r="417" spans="30:40" x14ac:dyDescent="0.2">
      <c r="AD417" s="137"/>
      <c r="AE417" s="137"/>
      <c r="AF417" s="133"/>
      <c r="AG417" s="133"/>
      <c r="AH417" s="133"/>
      <c r="AM417" s="137"/>
      <c r="AN417" s="137"/>
    </row>
    <row r="418" spans="30:40" x14ac:dyDescent="0.2">
      <c r="AD418" s="137"/>
      <c r="AE418" s="137"/>
      <c r="AF418" s="133"/>
      <c r="AG418" s="133"/>
      <c r="AH418" s="133"/>
    </row>
    <row r="419" spans="30:40" x14ac:dyDescent="0.2">
      <c r="AD419" s="137"/>
      <c r="AE419" s="137"/>
      <c r="AF419" s="133"/>
      <c r="AG419" s="133"/>
      <c r="AH419" s="133"/>
      <c r="AM419" s="137"/>
      <c r="AN419" s="137"/>
    </row>
    <row r="420" spans="30:40" x14ac:dyDescent="0.2">
      <c r="AD420" s="137"/>
      <c r="AE420" s="137"/>
      <c r="AF420" s="133"/>
      <c r="AG420" s="133"/>
      <c r="AH420" s="133"/>
      <c r="AM420" s="137"/>
      <c r="AN420" s="137"/>
    </row>
    <row r="422" spans="30:40" x14ac:dyDescent="0.2">
      <c r="AD422" s="137"/>
      <c r="AE422" s="137"/>
      <c r="AF422" s="135"/>
      <c r="AG422" s="135"/>
      <c r="AH422" s="135"/>
      <c r="AM422" s="137"/>
      <c r="AN422" s="137"/>
    </row>
    <row r="423" spans="30:40" x14ac:dyDescent="0.2">
      <c r="AD423" s="137"/>
      <c r="AE423" s="137"/>
      <c r="AF423" s="133"/>
      <c r="AG423" s="133"/>
      <c r="AH423" s="133"/>
    </row>
    <row r="424" spans="30:40" x14ac:dyDescent="0.2">
      <c r="AD424" s="137"/>
      <c r="AE424" s="137"/>
      <c r="AF424" s="133"/>
      <c r="AG424" s="133"/>
      <c r="AH424" s="133"/>
      <c r="AM424" s="137"/>
      <c r="AN424" s="137"/>
    </row>
    <row r="425" spans="30:40" x14ac:dyDescent="0.2">
      <c r="AD425" s="137"/>
      <c r="AE425" s="137"/>
      <c r="AF425" s="133"/>
      <c r="AG425" s="133"/>
      <c r="AH425" s="133"/>
      <c r="AM425" s="137"/>
      <c r="AN425" s="137"/>
    </row>
    <row r="427" spans="30:40" x14ac:dyDescent="0.2">
      <c r="AD427" s="137"/>
      <c r="AE427" s="137"/>
      <c r="AF427" s="135"/>
      <c r="AG427" s="135"/>
      <c r="AH427" s="135"/>
      <c r="AM427" s="137"/>
      <c r="AN427" s="137"/>
    </row>
    <row r="428" spans="30:40" x14ac:dyDescent="0.2">
      <c r="AD428" s="137"/>
      <c r="AE428" s="137"/>
      <c r="AF428" s="133"/>
      <c r="AG428" s="133"/>
      <c r="AH428" s="133"/>
      <c r="AM428" s="137"/>
      <c r="AN428" s="137"/>
    </row>
    <row r="429" spans="30:40" x14ac:dyDescent="0.2">
      <c r="AD429" s="137"/>
      <c r="AE429" s="137"/>
      <c r="AF429" s="133"/>
      <c r="AG429" s="133"/>
      <c r="AH429" s="133"/>
    </row>
    <row r="430" spans="30:40" x14ac:dyDescent="0.2">
      <c r="AD430" s="137"/>
      <c r="AE430" s="137"/>
      <c r="AF430" s="133"/>
      <c r="AG430" s="133"/>
      <c r="AH430" s="133"/>
      <c r="AM430" s="137"/>
      <c r="AN430" s="137"/>
    </row>
    <row r="431" spans="30:40" x14ac:dyDescent="0.2">
      <c r="AD431" s="137"/>
      <c r="AE431" s="137"/>
      <c r="AF431" s="133"/>
      <c r="AG431" s="133"/>
      <c r="AH431" s="133"/>
      <c r="AM431" s="137"/>
      <c r="AN431" s="137"/>
    </row>
    <row r="433" spans="30:44" x14ac:dyDescent="0.2">
      <c r="AD433" s="137"/>
      <c r="AE433" s="137"/>
      <c r="AF433" s="135"/>
      <c r="AG433" s="135"/>
      <c r="AH433" s="135"/>
      <c r="AM433" s="137"/>
      <c r="AN433" s="137"/>
    </row>
    <row r="434" spans="30:44" x14ac:dyDescent="0.2">
      <c r="AD434" s="137"/>
      <c r="AE434" s="137"/>
      <c r="AF434" s="135"/>
      <c r="AG434" s="135"/>
      <c r="AH434" s="135"/>
      <c r="AM434" s="139"/>
      <c r="AN434" s="139"/>
      <c r="AO434" s="139"/>
      <c r="AP434" s="139"/>
      <c r="AQ434" s="139"/>
    </row>
    <row r="435" spans="30:44" x14ac:dyDescent="0.2">
      <c r="AD435" s="137"/>
      <c r="AE435" s="137"/>
      <c r="AF435" s="133"/>
      <c r="AG435" s="133"/>
      <c r="AH435" s="133"/>
      <c r="AM435" s="137"/>
      <c r="AN435" s="137"/>
      <c r="AO435" s="139"/>
      <c r="AP435" s="139"/>
      <c r="AQ435" s="139"/>
      <c r="AR435" s="133"/>
    </row>
    <row r="436" spans="30:44" x14ac:dyDescent="0.2">
      <c r="AD436" s="137"/>
      <c r="AE436" s="137"/>
      <c r="AF436" s="133"/>
      <c r="AG436" s="133"/>
      <c r="AH436" s="133"/>
      <c r="AM436" s="139"/>
      <c r="AN436" s="139"/>
      <c r="AO436" s="139"/>
      <c r="AP436" s="139"/>
      <c r="AQ436" s="139"/>
      <c r="AR436" s="133"/>
    </row>
    <row r="437" spans="30:44" x14ac:dyDescent="0.2">
      <c r="AD437" s="137"/>
      <c r="AE437" s="137"/>
      <c r="AF437" s="133"/>
      <c r="AG437" s="133"/>
      <c r="AH437" s="133"/>
      <c r="AM437" s="139"/>
      <c r="AN437" s="139"/>
      <c r="AO437" s="139"/>
      <c r="AP437" s="139"/>
      <c r="AQ437" s="139"/>
      <c r="AR437" s="133"/>
    </row>
    <row r="438" spans="30:44" x14ac:dyDescent="0.2">
      <c r="AD438" s="137"/>
      <c r="AE438" s="137"/>
      <c r="AF438" s="133"/>
      <c r="AG438" s="133"/>
      <c r="AH438" s="133"/>
      <c r="AM438" s="139"/>
      <c r="AN438" s="139"/>
      <c r="AO438" s="139"/>
      <c r="AP438" s="139"/>
      <c r="AQ438" s="139"/>
      <c r="AR438" s="133"/>
    </row>
    <row r="439" spans="30:44" x14ac:dyDescent="0.2">
      <c r="AM439" s="137"/>
      <c r="AN439" s="137"/>
      <c r="AO439" s="139"/>
      <c r="AP439" s="139"/>
      <c r="AQ439" s="139"/>
      <c r="AR439" s="133"/>
    </row>
    <row r="440" spans="30:44" x14ac:dyDescent="0.2">
      <c r="AD440" s="137"/>
      <c r="AE440" s="137"/>
      <c r="AF440" s="135"/>
      <c r="AG440" s="135"/>
      <c r="AH440" s="135"/>
      <c r="AM440" s="137"/>
      <c r="AN440" s="137"/>
      <c r="AO440" s="139"/>
      <c r="AP440" s="139"/>
      <c r="AQ440" s="139"/>
      <c r="AR440" s="133"/>
    </row>
    <row r="441" spans="30:44" x14ac:dyDescent="0.2">
      <c r="AD441" s="137"/>
      <c r="AE441" s="137"/>
      <c r="AF441" s="133"/>
      <c r="AG441" s="133"/>
      <c r="AH441" s="133"/>
      <c r="AM441" s="137"/>
      <c r="AN441" s="137"/>
      <c r="AO441" s="139"/>
      <c r="AP441" s="139"/>
      <c r="AQ441" s="139"/>
      <c r="AR441" s="133"/>
    </row>
    <row r="442" spans="30:44" x14ac:dyDescent="0.2">
      <c r="AD442" s="137"/>
      <c r="AE442" s="137"/>
      <c r="AF442" s="133"/>
      <c r="AG442" s="133"/>
      <c r="AH442" s="133"/>
      <c r="AM442" s="137"/>
      <c r="AN442" s="137"/>
      <c r="AO442" s="139"/>
      <c r="AP442" s="139"/>
      <c r="AQ442" s="139"/>
      <c r="AR442" s="133"/>
    </row>
    <row r="443" spans="30:44" x14ac:dyDescent="0.2">
      <c r="AD443" s="137"/>
      <c r="AE443" s="137"/>
      <c r="AF443" s="133"/>
      <c r="AG443" s="133"/>
      <c r="AH443" s="133"/>
      <c r="AM443" s="137"/>
      <c r="AN443" s="137"/>
      <c r="AO443" s="139"/>
      <c r="AP443" s="139"/>
      <c r="AQ443" s="139"/>
      <c r="AR443" s="133"/>
    </row>
    <row r="444" spans="30:44" x14ac:dyDescent="0.2">
      <c r="AD444" s="137"/>
      <c r="AE444" s="137"/>
      <c r="AF444" s="133"/>
      <c r="AG444" s="133"/>
      <c r="AH444" s="133"/>
      <c r="AM444" s="137"/>
      <c r="AN444" s="137"/>
      <c r="AO444" s="139"/>
      <c r="AP444" s="139"/>
      <c r="AQ444" s="139"/>
      <c r="AR444" s="133"/>
    </row>
    <row r="445" spans="30:44" x14ac:dyDescent="0.2">
      <c r="AM445" s="137"/>
      <c r="AN445" s="137"/>
      <c r="AO445" s="139"/>
      <c r="AP445" s="139"/>
      <c r="AQ445" s="139"/>
      <c r="AR445" s="133"/>
    </row>
    <row r="446" spans="30:44" x14ac:dyDescent="0.2">
      <c r="AD446" s="137"/>
      <c r="AE446" s="137"/>
      <c r="AF446" s="135"/>
      <c r="AG446" s="135"/>
      <c r="AH446" s="135"/>
      <c r="AM446" s="137"/>
      <c r="AN446" s="137"/>
      <c r="AO446" s="139"/>
      <c r="AP446" s="139"/>
      <c r="AQ446" s="139"/>
      <c r="AR446" s="133"/>
    </row>
    <row r="447" spans="30:44" x14ac:dyDescent="0.2">
      <c r="AD447" s="137"/>
      <c r="AE447" s="137"/>
      <c r="AF447" s="133"/>
      <c r="AG447" s="133"/>
      <c r="AH447" s="133"/>
      <c r="AM447" s="137"/>
      <c r="AN447" s="137"/>
      <c r="AO447" s="139"/>
      <c r="AP447" s="139"/>
      <c r="AQ447" s="139"/>
      <c r="AR447" s="133"/>
    </row>
    <row r="448" spans="30:44" x14ac:dyDescent="0.2">
      <c r="AD448" s="137"/>
      <c r="AE448" s="137"/>
      <c r="AF448" s="133"/>
      <c r="AG448" s="133"/>
      <c r="AH448" s="133"/>
      <c r="AM448" s="137"/>
      <c r="AN448" s="137"/>
      <c r="AO448" s="139"/>
      <c r="AP448" s="139"/>
      <c r="AQ448" s="139"/>
      <c r="AR448" s="133"/>
    </row>
    <row r="449" spans="30:44" x14ac:dyDescent="0.2">
      <c r="AD449" s="137"/>
      <c r="AE449" s="137"/>
      <c r="AF449" s="133"/>
      <c r="AG449" s="133"/>
      <c r="AH449" s="133"/>
      <c r="AM449" s="137"/>
      <c r="AN449" s="137"/>
      <c r="AO449" s="139"/>
      <c r="AP449" s="139"/>
      <c r="AQ449" s="139"/>
      <c r="AR449" s="133"/>
    </row>
    <row r="450" spans="30:44" x14ac:dyDescent="0.2">
      <c r="AD450" s="137"/>
      <c r="AE450" s="137"/>
      <c r="AF450" s="133"/>
      <c r="AG450" s="133"/>
      <c r="AH450" s="133"/>
      <c r="AM450" s="137"/>
      <c r="AN450" s="137"/>
      <c r="AO450" s="139"/>
      <c r="AP450" s="139"/>
      <c r="AQ450" s="139"/>
      <c r="AR450" s="133"/>
    </row>
    <row r="451" spans="30:44" x14ac:dyDescent="0.2">
      <c r="AM451" s="137"/>
      <c r="AN451" s="137"/>
      <c r="AO451" s="139"/>
      <c r="AP451" s="139"/>
      <c r="AQ451" s="139"/>
      <c r="AR451" s="133"/>
    </row>
    <row r="452" spans="30:44" x14ac:dyDescent="0.2">
      <c r="AD452" s="137"/>
      <c r="AE452" s="137"/>
      <c r="AF452" s="135"/>
      <c r="AG452" s="135"/>
      <c r="AH452" s="135"/>
      <c r="AM452" s="137"/>
      <c r="AN452" s="137"/>
      <c r="AO452" s="139"/>
      <c r="AP452" s="139"/>
      <c r="AQ452" s="139"/>
      <c r="AR452" s="133"/>
    </row>
    <row r="453" spans="30:44" x14ac:dyDescent="0.2">
      <c r="AD453" s="137"/>
      <c r="AE453" s="137"/>
      <c r="AF453" s="133"/>
      <c r="AG453" s="133"/>
      <c r="AH453" s="133"/>
      <c r="AM453" s="137"/>
      <c r="AN453" s="137"/>
      <c r="AO453" s="139"/>
      <c r="AP453" s="139"/>
      <c r="AQ453" s="139"/>
      <c r="AR453" s="133"/>
    </row>
    <row r="454" spans="30:44" x14ac:dyDescent="0.2">
      <c r="AD454" s="137"/>
      <c r="AE454" s="137"/>
      <c r="AF454" s="133"/>
      <c r="AG454" s="133"/>
      <c r="AH454" s="133"/>
      <c r="AM454" s="137"/>
      <c r="AN454" s="137"/>
      <c r="AO454" s="139"/>
      <c r="AP454" s="139"/>
      <c r="AQ454" s="139"/>
      <c r="AR454" s="133"/>
    </row>
    <row r="455" spans="30:44" x14ac:dyDescent="0.2">
      <c r="AD455" s="137"/>
      <c r="AE455" s="137"/>
      <c r="AF455" s="133"/>
      <c r="AG455" s="133"/>
      <c r="AH455" s="133"/>
      <c r="AM455" s="137"/>
      <c r="AN455" s="137"/>
      <c r="AO455" s="139"/>
      <c r="AP455" s="139"/>
      <c r="AQ455" s="139"/>
      <c r="AR455" s="133"/>
    </row>
    <row r="456" spans="30:44" x14ac:dyDescent="0.2">
      <c r="AD456" s="137"/>
      <c r="AE456" s="137"/>
      <c r="AF456" s="133"/>
      <c r="AG456" s="133"/>
      <c r="AH456" s="133"/>
      <c r="AM456" s="137"/>
      <c r="AN456" s="137"/>
      <c r="AO456" s="139"/>
      <c r="AP456" s="139"/>
      <c r="AQ456" s="139"/>
      <c r="AR456" s="133"/>
    </row>
    <row r="457" spans="30:44" x14ac:dyDescent="0.2">
      <c r="AM457" s="137"/>
      <c r="AN457" s="137"/>
      <c r="AO457" s="139"/>
      <c r="AP457" s="139"/>
      <c r="AQ457" s="139"/>
      <c r="AR457" s="133"/>
    </row>
    <row r="458" spans="30:44" x14ac:dyDescent="0.2">
      <c r="AD458" s="137"/>
      <c r="AE458" s="137"/>
      <c r="AF458" s="135"/>
      <c r="AG458" s="135"/>
      <c r="AH458" s="135"/>
      <c r="AM458" s="137"/>
      <c r="AN458" s="137"/>
      <c r="AO458" s="139"/>
      <c r="AP458" s="139"/>
      <c r="AQ458" s="139"/>
      <c r="AR458" s="133"/>
    </row>
    <row r="459" spans="30:44" x14ac:dyDescent="0.2">
      <c r="AD459" s="137"/>
      <c r="AE459" s="137"/>
      <c r="AF459" s="133"/>
      <c r="AG459" s="133"/>
      <c r="AH459" s="133"/>
      <c r="AM459" s="137"/>
      <c r="AN459" s="137"/>
      <c r="AO459" s="139"/>
      <c r="AP459" s="139"/>
      <c r="AQ459" s="139"/>
      <c r="AR459" s="133"/>
    </row>
    <row r="460" spans="30:44" x14ac:dyDescent="0.2">
      <c r="AD460" s="137"/>
      <c r="AE460" s="137"/>
      <c r="AF460" s="133"/>
      <c r="AG460" s="133"/>
      <c r="AH460" s="133"/>
      <c r="AM460" s="137"/>
      <c r="AN460" s="137"/>
      <c r="AO460" s="139"/>
      <c r="AP460" s="139"/>
      <c r="AQ460" s="139"/>
      <c r="AR460" s="133"/>
    </row>
    <row r="461" spans="30:44" x14ac:dyDescent="0.2">
      <c r="AD461" s="137"/>
      <c r="AE461" s="137"/>
      <c r="AF461" s="133"/>
      <c r="AG461" s="133"/>
      <c r="AH461" s="133"/>
    </row>
    <row r="462" spans="30:44" x14ac:dyDescent="0.2">
      <c r="AD462" s="137"/>
      <c r="AE462" s="137"/>
      <c r="AF462" s="133"/>
      <c r="AG462" s="133"/>
      <c r="AH462" s="133"/>
      <c r="AQ462" s="60"/>
    </row>
    <row r="464" spans="30:44" x14ac:dyDescent="0.2">
      <c r="AD464" s="137"/>
      <c r="AE464" s="137"/>
      <c r="AF464" s="135"/>
      <c r="AG464" s="135"/>
      <c r="AH464" s="135"/>
    </row>
    <row r="465" spans="30:34" x14ac:dyDescent="0.2">
      <c r="AD465" s="137"/>
      <c r="AE465" s="137"/>
      <c r="AF465" s="133"/>
      <c r="AG465" s="133"/>
      <c r="AH465" s="133"/>
    </row>
    <row r="466" spans="30:34" x14ac:dyDescent="0.2">
      <c r="AD466" s="137"/>
      <c r="AE466" s="137"/>
      <c r="AF466" s="133"/>
      <c r="AG466" s="133"/>
      <c r="AH466" s="133"/>
    </row>
    <row r="467" spans="30:34" x14ac:dyDescent="0.2">
      <c r="AD467" s="137"/>
      <c r="AE467" s="137"/>
      <c r="AF467" s="133"/>
      <c r="AG467" s="133"/>
      <c r="AH467" s="133"/>
    </row>
    <row r="468" spans="30:34" x14ac:dyDescent="0.2">
      <c r="AD468" s="137"/>
      <c r="AE468" s="137"/>
      <c r="AF468" s="133"/>
      <c r="AG468" s="133"/>
      <c r="AH468" s="133"/>
    </row>
    <row r="470" spans="30:34" x14ac:dyDescent="0.2">
      <c r="AD470" s="137"/>
      <c r="AE470" s="137"/>
      <c r="AF470" s="135"/>
      <c r="AG470" s="135"/>
      <c r="AH470" s="135"/>
    </row>
    <row r="471" spans="30:34" x14ac:dyDescent="0.2">
      <c r="AD471" s="137"/>
      <c r="AE471" s="137"/>
      <c r="AF471" s="133"/>
      <c r="AG471" s="133"/>
      <c r="AH471" s="133"/>
    </row>
    <row r="472" spans="30:34" x14ac:dyDescent="0.2">
      <c r="AD472" s="137"/>
      <c r="AE472" s="137"/>
      <c r="AF472" s="133"/>
      <c r="AG472" s="133"/>
      <c r="AH472" s="133"/>
    </row>
    <row r="473" spans="30:34" x14ac:dyDescent="0.2">
      <c r="AD473" s="137"/>
      <c r="AE473" s="137"/>
      <c r="AF473" s="133"/>
      <c r="AG473" s="133"/>
      <c r="AH473" s="133"/>
    </row>
    <row r="474" spans="30:34" x14ac:dyDescent="0.2">
      <c r="AD474" s="137"/>
      <c r="AE474" s="137"/>
      <c r="AF474" s="133"/>
      <c r="AG474" s="133"/>
      <c r="AH474" s="133"/>
    </row>
    <row r="476" spans="30:34" x14ac:dyDescent="0.2">
      <c r="AD476" s="137"/>
      <c r="AE476" s="137"/>
      <c r="AF476" s="135"/>
      <c r="AG476" s="135"/>
      <c r="AH476" s="135"/>
    </row>
    <row r="477" spans="30:34" x14ac:dyDescent="0.2">
      <c r="AD477" s="137"/>
      <c r="AE477" s="137"/>
      <c r="AF477" s="133"/>
      <c r="AG477" s="133"/>
      <c r="AH477" s="133"/>
    </row>
    <row r="478" spans="30:34" x14ac:dyDescent="0.2">
      <c r="AD478" s="137"/>
      <c r="AE478" s="137"/>
      <c r="AF478" s="133"/>
      <c r="AG478" s="133"/>
      <c r="AH478" s="133"/>
    </row>
    <row r="479" spans="30:34" x14ac:dyDescent="0.2">
      <c r="AD479" s="137"/>
      <c r="AE479" s="137"/>
      <c r="AF479" s="133"/>
      <c r="AG479" s="133"/>
      <c r="AH479" s="133"/>
    </row>
    <row r="480" spans="30:34" x14ac:dyDescent="0.2">
      <c r="AD480" s="137"/>
      <c r="AE480" s="137"/>
      <c r="AF480" s="133"/>
      <c r="AG480" s="133"/>
      <c r="AH480" s="133"/>
    </row>
    <row r="482" spans="30:34" x14ac:dyDescent="0.2">
      <c r="AD482" s="137"/>
      <c r="AE482" s="137"/>
      <c r="AF482" s="135"/>
      <c r="AG482" s="135"/>
      <c r="AH482" s="135"/>
    </row>
    <row r="483" spans="30:34" x14ac:dyDescent="0.2">
      <c r="AD483" s="137"/>
      <c r="AE483" s="137"/>
      <c r="AF483" s="133"/>
      <c r="AG483" s="133"/>
      <c r="AH483" s="133"/>
    </row>
    <row r="484" spans="30:34" x14ac:dyDescent="0.2">
      <c r="AD484" s="137"/>
      <c r="AE484" s="137"/>
      <c r="AF484" s="133"/>
      <c r="AG484" s="133"/>
      <c r="AH484" s="133"/>
    </row>
    <row r="485" spans="30:34" x14ac:dyDescent="0.2">
      <c r="AD485" s="137"/>
      <c r="AE485" s="137"/>
      <c r="AF485" s="133"/>
      <c r="AG485" s="133"/>
      <c r="AH485" s="133"/>
    </row>
    <row r="486" spans="30:34" x14ac:dyDescent="0.2">
      <c r="AD486" s="137"/>
      <c r="AE486" s="137"/>
      <c r="AF486" s="133"/>
      <c r="AG486" s="133"/>
      <c r="AH486" s="133"/>
    </row>
    <row r="488" spans="30:34" x14ac:dyDescent="0.2">
      <c r="AD488" s="137"/>
      <c r="AE488" s="137"/>
      <c r="AF488" s="135"/>
      <c r="AG488" s="135"/>
      <c r="AH488" s="135"/>
    </row>
    <row r="489" spans="30:34" x14ac:dyDescent="0.2">
      <c r="AD489" s="137"/>
      <c r="AE489" s="137"/>
      <c r="AF489" s="133"/>
      <c r="AG489" s="133"/>
      <c r="AH489" s="133"/>
    </row>
    <row r="490" spans="30:34" x14ac:dyDescent="0.2">
      <c r="AD490" s="137"/>
      <c r="AE490" s="137"/>
      <c r="AF490" s="133"/>
      <c r="AG490" s="133"/>
      <c r="AH490" s="133"/>
    </row>
    <row r="491" spans="30:34" x14ac:dyDescent="0.2">
      <c r="AD491" s="137"/>
      <c r="AE491" s="137"/>
      <c r="AF491" s="133"/>
      <c r="AG491" s="133"/>
      <c r="AH491" s="133"/>
    </row>
    <row r="492" spans="30:34" x14ac:dyDescent="0.2">
      <c r="AD492" s="137"/>
      <c r="AE492" s="137"/>
      <c r="AF492" s="133"/>
      <c r="AG492" s="133"/>
      <c r="AH492" s="133"/>
    </row>
    <row r="494" spans="30:34" x14ac:dyDescent="0.2">
      <c r="AD494" s="137"/>
      <c r="AE494" s="137"/>
      <c r="AF494" s="135"/>
      <c r="AG494" s="135"/>
      <c r="AH494" s="135"/>
    </row>
    <row r="495" spans="30:34" x14ac:dyDescent="0.2">
      <c r="AD495" s="137"/>
      <c r="AE495" s="137"/>
      <c r="AF495" s="133"/>
      <c r="AG495" s="133"/>
      <c r="AH495" s="133"/>
    </row>
    <row r="496" spans="30:34" x14ac:dyDescent="0.2">
      <c r="AD496" s="137"/>
      <c r="AE496" s="137"/>
      <c r="AF496" s="133"/>
      <c r="AG496" s="133"/>
      <c r="AH496" s="133"/>
    </row>
    <row r="497" spans="30:34" x14ac:dyDescent="0.2">
      <c r="AD497" s="137"/>
      <c r="AE497" s="137"/>
      <c r="AF497" s="133"/>
      <c r="AG497" s="133"/>
      <c r="AH497" s="133"/>
    </row>
    <row r="498" spans="30:34" x14ac:dyDescent="0.2">
      <c r="AD498" s="137"/>
      <c r="AE498" s="137"/>
      <c r="AF498" s="133"/>
      <c r="AG498" s="133"/>
      <c r="AH498" s="133"/>
    </row>
    <row r="499" spans="30:34" x14ac:dyDescent="0.2">
      <c r="AD499" s="137"/>
      <c r="AE499" s="137"/>
      <c r="AF499" s="133"/>
      <c r="AG499" s="133"/>
      <c r="AH499" s="133"/>
    </row>
  </sheetData>
  <sheetProtection sheet="1" objects="1" scenarios="1"/>
  <protectedRanges>
    <protectedRange sqref="K42:K51" name="Range5"/>
    <protectedRange sqref="H17:H20 H5:H14" name="Range4"/>
    <protectedRange sqref="D4:D8" name="Range1"/>
    <protectedRange sqref="D18 D15 D11:D13 D40 D23:D26 D31" name="Range2"/>
  </protectedRanges>
  <mergeCells count="40">
    <mergeCell ref="I5:K5"/>
    <mergeCell ref="D65:R65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101:H101"/>
    <mergeCell ref="D102:H102"/>
    <mergeCell ref="D103:H103"/>
    <mergeCell ref="D104:H104"/>
    <mergeCell ref="D96:H96"/>
    <mergeCell ref="D97:H97"/>
    <mergeCell ref="D98:H98"/>
    <mergeCell ref="D99:H99"/>
    <mergeCell ref="D100:H100"/>
  </mergeCells>
  <phoneticPr fontId="1" type="noConversion"/>
  <pageMargins left="0.75" right="0.75" top="1" bottom="1" header="0.5" footer="0.5"/>
  <pageSetup scale="72" orientation="landscape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OptimizePAR">
                <anchor moveWithCells="1">
                  <from>
                    <xdr:col>8</xdr:col>
                    <xdr:colOff>0</xdr:colOff>
                    <xdr:row>20</xdr:row>
                    <xdr:rowOff>123825</xdr:rowOff>
                  </from>
                  <to>
                    <xdr:col>11</xdr:col>
                    <xdr:colOff>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Export">
                <anchor moveWithCells="1">
                  <from>
                    <xdr:col>9</xdr:col>
                    <xdr:colOff>9525</xdr:colOff>
                    <xdr:row>57</xdr:row>
                    <xdr:rowOff>28575</xdr:rowOff>
                  </from>
                  <to>
                    <xdr:col>10</xdr:col>
                    <xdr:colOff>323850</xdr:colOff>
                    <xdr:row>60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X235"/>
  <sheetViews>
    <sheetView workbookViewId="0">
      <selection activeCell="C32" sqref="C32"/>
    </sheetView>
  </sheetViews>
  <sheetFormatPr defaultRowHeight="11.25" x14ac:dyDescent="0.2"/>
  <cols>
    <col min="1" max="1" width="16.7109375" style="143" bestFit="1" customWidth="1"/>
    <col min="2" max="2" width="4" style="143" bestFit="1" customWidth="1"/>
    <col min="3" max="3" width="4.85546875" style="143" bestFit="1" customWidth="1"/>
    <col min="4" max="4" width="4" style="143" bestFit="1" customWidth="1"/>
    <col min="5" max="5" width="9.140625" style="143"/>
    <col min="6" max="6" width="4.85546875" style="143" bestFit="1" customWidth="1"/>
    <col min="7" max="7" width="4" style="143" bestFit="1" customWidth="1"/>
    <col min="8" max="8" width="9.140625" style="143"/>
    <col min="9" max="9" width="5.42578125" style="143" bestFit="1" customWidth="1"/>
    <col min="10" max="10" width="4.5703125" style="143" bestFit="1" customWidth="1"/>
    <col min="11" max="11" width="4.85546875" style="143" bestFit="1" customWidth="1"/>
    <col min="12" max="12" width="4.5703125" style="143" bestFit="1" customWidth="1"/>
    <col min="13" max="13" width="4.85546875" style="143" bestFit="1" customWidth="1"/>
    <col min="14" max="14" width="9.140625" style="143"/>
    <col min="15" max="15" width="9" style="143" bestFit="1" customWidth="1"/>
    <col min="16" max="16" width="4.140625" style="143" bestFit="1" customWidth="1"/>
    <col min="17" max="17" width="9.42578125" style="143" bestFit="1" customWidth="1"/>
    <col min="18" max="18" width="4.140625" style="143" bestFit="1" customWidth="1"/>
    <col min="19" max="20" width="4.85546875" style="143" bestFit="1" customWidth="1"/>
    <col min="21" max="21" width="4.140625" style="143" bestFit="1" customWidth="1"/>
    <col min="22" max="22" width="4" style="143" bestFit="1" customWidth="1"/>
    <col min="23" max="23" width="4.140625" style="143" bestFit="1" customWidth="1"/>
    <col min="24" max="24" width="5.42578125" style="143" bestFit="1" customWidth="1"/>
    <col min="25" max="16384" width="9.140625" style="143"/>
  </cols>
  <sheetData>
    <row r="3" spans="1:24" x14ac:dyDescent="0.2">
      <c r="F3" s="144"/>
    </row>
    <row r="5" spans="1:24" x14ac:dyDescent="0.2">
      <c r="C5" s="4" t="s">
        <v>5</v>
      </c>
      <c r="D5" s="4" t="s">
        <v>6</v>
      </c>
      <c r="E5" s="4"/>
      <c r="F5" s="4" t="s">
        <v>5</v>
      </c>
      <c r="G5" s="4" t="s">
        <v>6</v>
      </c>
      <c r="H5" s="4"/>
      <c r="I5" s="4" t="s">
        <v>38</v>
      </c>
      <c r="J5" s="4" t="s">
        <v>39</v>
      </c>
      <c r="K5" s="4"/>
      <c r="L5" s="4" t="s">
        <v>3</v>
      </c>
      <c r="M5" s="4" t="s">
        <v>4</v>
      </c>
      <c r="N5" s="145"/>
      <c r="O5" s="145"/>
    </row>
    <row r="6" spans="1:24" x14ac:dyDescent="0.2">
      <c r="A6" s="146" t="str">
        <f>TH!I5</f>
        <v>Panel A (bottom)</v>
      </c>
      <c r="B6" s="147"/>
      <c r="C6" s="148">
        <f>C19</f>
        <v>0</v>
      </c>
      <c r="D6" s="148">
        <f>D19</f>
        <v>91.44</v>
      </c>
      <c r="E6" s="149"/>
      <c r="F6" s="148">
        <f>IF($B10="x",C6,TH!$D$211)</f>
        <v>0</v>
      </c>
      <c r="G6" s="148">
        <f>IF($B10="x",D6,TH!$D$212)</f>
        <v>91.44</v>
      </c>
      <c r="H6" s="149"/>
      <c r="I6" s="148"/>
      <c r="J6" s="148"/>
      <c r="K6" s="149"/>
      <c r="L6" s="150"/>
      <c r="M6" s="151"/>
      <c r="O6" s="7" t="s">
        <v>58</v>
      </c>
      <c r="P6" s="203" t="s">
        <v>32</v>
      </c>
      <c r="Q6" s="203" t="s">
        <v>33</v>
      </c>
      <c r="R6" s="203" t="s">
        <v>32</v>
      </c>
      <c r="S6" s="203" t="s">
        <v>114</v>
      </c>
      <c r="T6" s="200" t="s">
        <v>115</v>
      </c>
      <c r="U6" s="203" t="s">
        <v>32</v>
      </c>
      <c r="V6" s="203" t="s">
        <v>33</v>
      </c>
      <c r="W6" s="203" t="s">
        <v>32</v>
      </c>
      <c r="X6" s="203" t="s">
        <v>114</v>
      </c>
    </row>
    <row r="7" spans="1:24" x14ac:dyDescent="0.2">
      <c r="A7" s="153"/>
      <c r="B7" s="154"/>
      <c r="C7" s="155">
        <f>C6</f>
        <v>0</v>
      </c>
      <c r="D7" s="155">
        <f>D20</f>
        <v>0</v>
      </c>
      <c r="E7" s="156"/>
      <c r="F7" s="155">
        <f>IF($B10="x",C7,TH!$D$211)</f>
        <v>0</v>
      </c>
      <c r="G7" s="155">
        <f>IF($B10="x",D7,TH!$D$212)</f>
        <v>0</v>
      </c>
      <c r="H7" s="156"/>
      <c r="I7" s="157">
        <f t="shared" ref="I7:J10" si="0">C6-C7</f>
        <v>0</v>
      </c>
      <c r="J7" s="157">
        <f t="shared" si="0"/>
        <v>91.44</v>
      </c>
      <c r="K7" s="157">
        <f>(I7^2+J7^2)^0.5</f>
        <v>91.44</v>
      </c>
      <c r="L7" s="157"/>
      <c r="M7" s="158"/>
      <c r="O7" s="202">
        <f>TH!$D$40</f>
        <v>4.7820260215391599</v>
      </c>
      <c r="P7" s="201">
        <f>COS($O7*PI()/180)</f>
        <v>0.99651906038272886</v>
      </c>
      <c r="Q7" s="201">
        <f>SIN($O7*PI()/180)</f>
        <v>8.336523432416626E-2</v>
      </c>
      <c r="R7" s="201">
        <f>P7</f>
        <v>0.99651906038272886</v>
      </c>
      <c r="S7" s="201">
        <f>TAN($O7*PI()/180)</f>
        <v>8.3656437331111888E-2</v>
      </c>
      <c r="T7" s="202">
        <f>O7/2</f>
        <v>2.3910130107695799</v>
      </c>
      <c r="U7" s="201">
        <f>COS($T7*PI()/(180*2))</f>
        <v>0.99978232283617885</v>
      </c>
      <c r="V7" s="201">
        <f>SIN($T7*PI()/(180*2))</f>
        <v>2.086401074325454E-2</v>
      </c>
      <c r="W7" s="201">
        <f>U7</f>
        <v>0.99978232283617885</v>
      </c>
      <c r="X7" s="201">
        <f>TAN($T7*PI()/(180*2))</f>
        <v>2.0868553350760984E-2</v>
      </c>
    </row>
    <row r="8" spans="1:24" x14ac:dyDescent="0.2">
      <c r="A8" s="153"/>
      <c r="B8" s="154"/>
      <c r="C8" s="155">
        <f>C7+TH!D42</f>
        <v>1.9</v>
      </c>
      <c r="D8" s="155">
        <f>D7</f>
        <v>0</v>
      </c>
      <c r="E8" s="156"/>
      <c r="F8" s="155">
        <f>IF($B10="x",C8,TH!$D$211)</f>
        <v>1.9</v>
      </c>
      <c r="G8" s="155">
        <f>IF($B10="x",D8,TH!$D$212)</f>
        <v>0</v>
      </c>
      <c r="H8" s="156"/>
      <c r="I8" s="157">
        <f t="shared" si="0"/>
        <v>-1.9</v>
      </c>
      <c r="J8" s="157">
        <f t="shared" si="0"/>
        <v>0</v>
      </c>
      <c r="K8" s="157">
        <f>(I8^2+J8^2)^0.5</f>
        <v>1.9</v>
      </c>
      <c r="L8" s="157"/>
      <c r="M8" s="158"/>
      <c r="Q8" s="163"/>
      <c r="R8" s="163"/>
      <c r="S8" s="163"/>
      <c r="T8" s="163"/>
      <c r="V8" s="163"/>
    </row>
    <row r="9" spans="1:24" x14ac:dyDescent="0.2">
      <c r="A9" s="153"/>
      <c r="B9" s="154"/>
      <c r="C9" s="155">
        <f>C8</f>
        <v>1.9</v>
      </c>
      <c r="D9" s="155">
        <f>D6</f>
        <v>91.44</v>
      </c>
      <c r="E9" s="154"/>
      <c r="F9" s="155">
        <f>IF($B10="x",C9,TH!$D$211)</f>
        <v>1.9</v>
      </c>
      <c r="G9" s="155">
        <f>IF($B10="x",D9,TH!$D$212)</f>
        <v>91.44</v>
      </c>
      <c r="H9" s="156"/>
      <c r="I9" s="157">
        <f t="shared" si="0"/>
        <v>0</v>
      </c>
      <c r="J9" s="157">
        <f t="shared" si="0"/>
        <v>-91.44</v>
      </c>
      <c r="K9" s="157">
        <f>(I9^2+J9^2)^0.5</f>
        <v>91.44</v>
      </c>
      <c r="L9" s="157"/>
      <c r="M9" s="158"/>
      <c r="Q9" s="163"/>
      <c r="R9" s="163"/>
      <c r="S9" s="163"/>
      <c r="T9" s="163"/>
    </row>
    <row r="10" spans="1:24" x14ac:dyDescent="0.2">
      <c r="A10" s="210" t="s">
        <v>119</v>
      </c>
      <c r="B10" s="209" t="str">
        <f>TH!H5</f>
        <v>x</v>
      </c>
      <c r="C10" s="160">
        <f>C6</f>
        <v>0</v>
      </c>
      <c r="D10" s="160">
        <f>D6</f>
        <v>91.44</v>
      </c>
      <c r="E10" s="159"/>
      <c r="F10" s="160">
        <f>IF($B10="x",C10,TH!$D$211)</f>
        <v>0</v>
      </c>
      <c r="G10" s="160">
        <f>IF($B10="x",D10,TH!$D$212)</f>
        <v>91.44</v>
      </c>
      <c r="H10" s="159"/>
      <c r="I10" s="161">
        <f t="shared" si="0"/>
        <v>1.9</v>
      </c>
      <c r="J10" s="161">
        <f t="shared" si="0"/>
        <v>0</v>
      </c>
      <c r="K10" s="161">
        <f>(I10^2+J10^2)^0.5</f>
        <v>1.9</v>
      </c>
      <c r="L10" s="159"/>
      <c r="M10" s="162"/>
      <c r="Q10" s="163"/>
      <c r="R10" s="163"/>
      <c r="S10" s="163"/>
      <c r="T10" s="163"/>
      <c r="V10" s="163"/>
    </row>
    <row r="11" spans="1:24" x14ac:dyDescent="0.2">
      <c r="C11" s="164"/>
      <c r="Q11" s="163"/>
      <c r="R11" s="163"/>
      <c r="S11" s="163"/>
      <c r="T11" s="163"/>
      <c r="V11" s="163"/>
    </row>
    <row r="12" spans="1:24" x14ac:dyDescent="0.2">
      <c r="A12" s="146" t="str">
        <f>TH!I6</f>
        <v>Panel B (top)</v>
      </c>
      <c r="B12" s="147"/>
      <c r="C12" s="148">
        <f>C18</f>
        <v>91.44</v>
      </c>
      <c r="D12" s="148">
        <f>D18</f>
        <v>91.44</v>
      </c>
      <c r="E12" s="149"/>
      <c r="F12" s="148">
        <f>IF($B16="x",C12,TH!$D$211)</f>
        <v>91.44</v>
      </c>
      <c r="G12" s="148">
        <f>IF($B16="x",D12,TH!$D$212)</f>
        <v>91.44</v>
      </c>
      <c r="H12" s="149"/>
      <c r="I12" s="148"/>
      <c r="J12" s="148"/>
      <c r="K12" s="149"/>
      <c r="L12" s="150"/>
      <c r="M12" s="151"/>
      <c r="Q12" s="163"/>
      <c r="R12" s="163"/>
      <c r="S12" s="163"/>
      <c r="T12" s="163"/>
      <c r="V12" s="163"/>
    </row>
    <row r="13" spans="1:24" x14ac:dyDescent="0.2">
      <c r="A13" s="153"/>
      <c r="B13" s="154"/>
      <c r="C13" s="155">
        <f>C12</f>
        <v>91.44</v>
      </c>
      <c r="D13" s="155">
        <f>D20</f>
        <v>0</v>
      </c>
      <c r="E13" s="156"/>
      <c r="F13" s="155">
        <f>IF($B16="x",C13,TH!$D$211)</f>
        <v>91.44</v>
      </c>
      <c r="G13" s="155">
        <f>IF($B16="x",D13,TH!$D$212)</f>
        <v>0</v>
      </c>
      <c r="H13" s="156"/>
      <c r="I13" s="157">
        <f t="shared" ref="I13:J16" si="1">C12-C13</f>
        <v>0</v>
      </c>
      <c r="J13" s="157">
        <f t="shared" si="1"/>
        <v>91.44</v>
      </c>
      <c r="K13" s="157">
        <f>(I13^2+J13^2)^0.5</f>
        <v>91.44</v>
      </c>
      <c r="L13" s="157"/>
      <c r="M13" s="158"/>
    </row>
    <row r="14" spans="1:24" x14ac:dyDescent="0.2">
      <c r="A14" s="153"/>
      <c r="B14" s="154"/>
      <c r="C14" s="155">
        <f>C13-TH!D42</f>
        <v>89.539999999999992</v>
      </c>
      <c r="D14" s="155">
        <f>D13</f>
        <v>0</v>
      </c>
      <c r="E14" s="156"/>
      <c r="F14" s="155">
        <f>IF($B16="x",C14,TH!$D$211)</f>
        <v>89.539999999999992</v>
      </c>
      <c r="G14" s="155">
        <f>IF($B16="x",D14,TH!$D$212)</f>
        <v>0</v>
      </c>
      <c r="H14" s="156"/>
      <c r="I14" s="157">
        <f t="shared" si="1"/>
        <v>1.9000000000000057</v>
      </c>
      <c r="J14" s="157">
        <f t="shared" si="1"/>
        <v>0</v>
      </c>
      <c r="K14" s="157">
        <f>(I14^2+J14^2)^0.5</f>
        <v>1.9000000000000057</v>
      </c>
      <c r="L14" s="157"/>
      <c r="M14" s="158"/>
      <c r="S14" s="164" t="s">
        <v>5</v>
      </c>
      <c r="T14" s="164" t="s">
        <v>6</v>
      </c>
      <c r="U14" s="164" t="s">
        <v>7</v>
      </c>
      <c r="V14" s="164" t="s">
        <v>8</v>
      </c>
      <c r="W14" s="164" t="s">
        <v>19</v>
      </c>
      <c r="X14" s="164" t="s">
        <v>28</v>
      </c>
    </row>
    <row r="15" spans="1:24" x14ac:dyDescent="0.2">
      <c r="A15" s="153"/>
      <c r="B15" s="154"/>
      <c r="C15" s="155">
        <f>C14</f>
        <v>89.539999999999992</v>
      </c>
      <c r="D15" s="155">
        <f>D12</f>
        <v>91.44</v>
      </c>
      <c r="E15" s="154"/>
      <c r="F15" s="155">
        <f>IF($B16="x",C15,TH!$D$211)</f>
        <v>89.539999999999992</v>
      </c>
      <c r="G15" s="155">
        <f>IF($B16="x",D15,TH!$D$212)</f>
        <v>91.44</v>
      </c>
      <c r="H15" s="156"/>
      <c r="I15" s="157">
        <f t="shared" si="1"/>
        <v>0</v>
      </c>
      <c r="J15" s="157">
        <f t="shared" si="1"/>
        <v>-91.44</v>
      </c>
      <c r="K15" s="157">
        <f>(I15^2+J15^2)^0.5</f>
        <v>91.44</v>
      </c>
      <c r="L15" s="157"/>
      <c r="M15" s="158"/>
      <c r="S15" s="165">
        <f>C38</f>
        <v>33.145189725885267</v>
      </c>
      <c r="T15" s="165">
        <f>D38</f>
        <v>62.400562594681304</v>
      </c>
      <c r="U15" s="164"/>
      <c r="V15" s="164"/>
      <c r="W15" s="164"/>
      <c r="X15" s="164"/>
    </row>
    <row r="16" spans="1:24" x14ac:dyDescent="0.2">
      <c r="A16" s="210" t="s">
        <v>119</v>
      </c>
      <c r="B16" s="209" t="str">
        <f>TH!H6</f>
        <v>x</v>
      </c>
      <c r="C16" s="160">
        <f>C12</f>
        <v>91.44</v>
      </c>
      <c r="D16" s="160">
        <f>D12</f>
        <v>91.44</v>
      </c>
      <c r="E16" s="159"/>
      <c r="F16" s="160">
        <f>IF($B16="x",C16,TH!$D$211)</f>
        <v>91.44</v>
      </c>
      <c r="G16" s="160">
        <f>IF($B16="x",D16,TH!$D$212)</f>
        <v>91.44</v>
      </c>
      <c r="H16" s="159"/>
      <c r="I16" s="161">
        <f t="shared" si="1"/>
        <v>-1.9000000000000057</v>
      </c>
      <c r="J16" s="161">
        <f t="shared" si="1"/>
        <v>0</v>
      </c>
      <c r="K16" s="161">
        <f>(I16^2+J16^2)^0.5</f>
        <v>1.9000000000000057</v>
      </c>
      <c r="L16" s="159"/>
      <c r="M16" s="162"/>
      <c r="S16" s="165">
        <f>C39</f>
        <v>38.378649153164929</v>
      </c>
      <c r="T16" s="165">
        <f>D39</f>
        <v>-0.15839394521591288</v>
      </c>
      <c r="U16" s="165">
        <f>S15-S16</f>
        <v>-5.2334594272796622</v>
      </c>
      <c r="V16" s="165">
        <f>T15-T16</f>
        <v>62.558956539897217</v>
      </c>
      <c r="W16" s="165">
        <f>(U16^2+V16^2)^0.5</f>
        <v>62.777481161143534</v>
      </c>
      <c r="X16" s="144">
        <f>V16/U16</f>
        <v>-11.953652724201053</v>
      </c>
    </row>
    <row r="17" spans="1:24" x14ac:dyDescent="0.2">
      <c r="S17" s="165"/>
      <c r="T17" s="165"/>
      <c r="U17" s="164"/>
      <c r="V17" s="164"/>
      <c r="W17" s="164"/>
      <c r="X17" s="164"/>
    </row>
    <row r="18" spans="1:24" x14ac:dyDescent="0.2">
      <c r="A18" s="146" t="str">
        <f>TH!I7</f>
        <v>Panel C (sides)</v>
      </c>
      <c r="B18" s="147"/>
      <c r="C18" s="148">
        <f>TH!F45</f>
        <v>91.44</v>
      </c>
      <c r="D18" s="148">
        <f>TH!E45</f>
        <v>91.44</v>
      </c>
      <c r="E18" s="149"/>
      <c r="F18" s="148">
        <f>IF($B22="x",C18,TH!$D$211)</f>
        <v>91.44</v>
      </c>
      <c r="G18" s="148">
        <f>IF($B22="x",D18,TH!$D$212)</f>
        <v>91.44</v>
      </c>
      <c r="H18" s="149"/>
      <c r="I18" s="150"/>
      <c r="J18" s="150"/>
      <c r="K18" s="150"/>
      <c r="L18" s="150"/>
      <c r="M18" s="151"/>
      <c r="S18" s="144">
        <f>IF(TH!$H$20="x",TH!$D$56*SIN(ATAN($X$16)),0)</f>
        <v>0</v>
      </c>
      <c r="T18" s="165">
        <f>IF(TH!$H$20="x",TH!$D$56*COS(ATAN($X$16)),0)</f>
        <v>0</v>
      </c>
      <c r="U18" s="164"/>
      <c r="V18" s="164"/>
      <c r="W18" s="165"/>
      <c r="X18" s="164"/>
    </row>
    <row r="19" spans="1:24" x14ac:dyDescent="0.2">
      <c r="A19" s="153"/>
      <c r="B19" s="154"/>
      <c r="C19" s="155">
        <f>TH!D211</f>
        <v>0</v>
      </c>
      <c r="D19" s="155">
        <f>D18</f>
        <v>91.44</v>
      </c>
      <c r="E19" s="156"/>
      <c r="F19" s="155">
        <f>IF($B22="x",C19,TH!$D$211)</f>
        <v>0</v>
      </c>
      <c r="G19" s="155">
        <f>IF($B22="x",D19,TH!$D$212)</f>
        <v>91.44</v>
      </c>
      <c r="H19" s="156"/>
      <c r="I19" s="157">
        <f t="shared" ref="I19:J22" si="2">C18-C19</f>
        <v>91.44</v>
      </c>
      <c r="J19" s="157">
        <f t="shared" si="2"/>
        <v>0</v>
      </c>
      <c r="K19" s="157">
        <f>(I19^2+J19^2)^0.5</f>
        <v>91.44</v>
      </c>
      <c r="L19" s="157"/>
      <c r="M19" s="158"/>
      <c r="Q19" s="2" t="s">
        <v>21</v>
      </c>
      <c r="S19" s="164"/>
      <c r="T19" s="164"/>
      <c r="U19" s="164"/>
      <c r="V19" s="164"/>
      <c r="W19" s="165"/>
      <c r="X19" s="164"/>
    </row>
    <row r="20" spans="1:24" x14ac:dyDescent="0.2">
      <c r="A20" s="153"/>
      <c r="B20" s="154"/>
      <c r="C20" s="155">
        <f>C19</f>
        <v>0</v>
      </c>
      <c r="D20" s="155">
        <f>TH!D212</f>
        <v>0</v>
      </c>
      <c r="E20" s="156"/>
      <c r="F20" s="155">
        <f>IF($B22="x",C20,TH!$D$211)</f>
        <v>0</v>
      </c>
      <c r="G20" s="155">
        <f>IF($B22="x",D20,TH!$D$212)</f>
        <v>0</v>
      </c>
      <c r="H20" s="156"/>
      <c r="I20" s="157">
        <f t="shared" si="2"/>
        <v>0</v>
      </c>
      <c r="J20" s="157">
        <f t="shared" si="2"/>
        <v>91.44</v>
      </c>
      <c r="K20" s="157">
        <f>(I20^2+J20^2)^0.5</f>
        <v>91.44</v>
      </c>
      <c r="L20" s="157"/>
      <c r="M20" s="158"/>
      <c r="Q20" s="143" t="s">
        <v>43</v>
      </c>
      <c r="R20" s="143" t="str">
        <f>TH!$H$19</f>
        <v>x</v>
      </c>
      <c r="S20" s="165">
        <f>S21+(TH!$D$4*COS(ATAN($X$16)))/2+S18</f>
        <v>38.153979846661301</v>
      </c>
      <c r="T20" s="165">
        <f>T21+(TH!$D$4*SIN(ATAN($X$16)))/2</f>
        <v>2.5272249225155434</v>
      </c>
      <c r="U20" s="165">
        <f t="shared" ref="U20:U25" si="3">IF(R20="x",S20,0)</f>
        <v>38.153979846661301</v>
      </c>
      <c r="V20" s="165">
        <f t="shared" ref="V20:V25" si="4">IF(R20="x",T20,0)</f>
        <v>2.5272249225155434</v>
      </c>
      <c r="W20" s="165"/>
      <c r="X20" s="164"/>
    </row>
    <row r="21" spans="1:24" x14ac:dyDescent="0.2">
      <c r="A21" s="153"/>
      <c r="B21" s="154"/>
      <c r="C21" s="155">
        <f>C18</f>
        <v>91.44</v>
      </c>
      <c r="D21" s="155">
        <f>D20</f>
        <v>0</v>
      </c>
      <c r="E21" s="156"/>
      <c r="F21" s="155">
        <f>IF($B22="x",C21,TH!$D$211)</f>
        <v>91.44</v>
      </c>
      <c r="G21" s="155">
        <f>IF($B22="x",D21,TH!$D$212)</f>
        <v>0</v>
      </c>
      <c r="H21" s="156"/>
      <c r="I21" s="157">
        <f t="shared" si="2"/>
        <v>-91.44</v>
      </c>
      <c r="J21" s="157">
        <f t="shared" si="2"/>
        <v>0</v>
      </c>
      <c r="K21" s="157">
        <f>(I21^2+J21^2)^0.5</f>
        <v>91.44</v>
      </c>
      <c r="L21" s="157"/>
      <c r="M21" s="158"/>
      <c r="R21" s="143" t="str">
        <f>TH!$H$19</f>
        <v>x</v>
      </c>
      <c r="S21" s="165">
        <f>S16+U16*TH!D15/W16-S18</f>
        <v>35.877692123439942</v>
      </c>
      <c r="T21" s="165">
        <f>T16+(V16*TH!D15/W16)-T18</f>
        <v>29.737177866265956</v>
      </c>
      <c r="U21" s="165">
        <f t="shared" si="3"/>
        <v>35.877692123439942</v>
      </c>
      <c r="V21" s="165">
        <f t="shared" si="4"/>
        <v>29.737177866265956</v>
      </c>
      <c r="W21" s="165"/>
      <c r="X21" s="164"/>
    </row>
    <row r="22" spans="1:24" x14ac:dyDescent="0.2">
      <c r="A22" s="210" t="s">
        <v>119</v>
      </c>
      <c r="B22" s="209" t="str">
        <f>TH!H7</f>
        <v>x</v>
      </c>
      <c r="C22" s="160">
        <f>C18</f>
        <v>91.44</v>
      </c>
      <c r="D22" s="160">
        <f>D18</f>
        <v>91.44</v>
      </c>
      <c r="E22" s="159"/>
      <c r="F22" s="160">
        <f>IF($B22="x",C22,TH!$D$211)</f>
        <v>91.44</v>
      </c>
      <c r="G22" s="160">
        <f>IF($B22="x",D22,TH!$D$212)</f>
        <v>91.44</v>
      </c>
      <c r="H22" s="159"/>
      <c r="I22" s="161">
        <f t="shared" si="2"/>
        <v>0</v>
      </c>
      <c r="J22" s="161">
        <f t="shared" si="2"/>
        <v>-91.44</v>
      </c>
      <c r="K22" s="161">
        <f>(I22^2+J22^2)^0.5</f>
        <v>91.44</v>
      </c>
      <c r="L22" s="159"/>
      <c r="M22" s="162"/>
      <c r="R22" s="143" t="str">
        <f>TH!$H$19</f>
        <v>x</v>
      </c>
      <c r="S22" s="165">
        <f>S21+TH!$D$6*SIN(ATAN($X$16))</f>
        <v>9.8067604657069865</v>
      </c>
      <c r="T22" s="165">
        <f>T21-TH!$D$6*COS(ATAN($X$16))</f>
        <v>27.55617660587712</v>
      </c>
      <c r="U22" s="165">
        <f t="shared" si="3"/>
        <v>9.8067604657069865</v>
      </c>
      <c r="V22" s="165">
        <f t="shared" si="4"/>
        <v>27.55617660587712</v>
      </c>
      <c r="W22" s="165"/>
      <c r="X22" s="164"/>
    </row>
    <row r="23" spans="1:24" x14ac:dyDescent="0.2">
      <c r="R23" s="143" t="str">
        <f>TH!$H$19</f>
        <v>x</v>
      </c>
      <c r="S23" s="165">
        <f>S22+TH!$D$7*COS(ATAN($X$16))/2</f>
        <v>10.682095426110731</v>
      </c>
      <c r="T23" s="165">
        <f>T22+TH!$D$7*SIN(ATAN($X$16))/2</f>
        <v>17.092726471858466</v>
      </c>
      <c r="U23" s="165">
        <f t="shared" si="3"/>
        <v>10.682095426110731</v>
      </c>
      <c r="V23" s="165">
        <f t="shared" si="4"/>
        <v>17.092726471858466</v>
      </c>
      <c r="W23" s="164"/>
      <c r="X23" s="164"/>
    </row>
    <row r="24" spans="1:24" x14ac:dyDescent="0.2">
      <c r="A24" s="146" t="str">
        <f>TH!I8</f>
        <v>Panel D (front)</v>
      </c>
      <c r="B24" s="147"/>
      <c r="C24" s="148">
        <f>C14-TH!F46</f>
        <v>40.272035367892116</v>
      </c>
      <c r="D24" s="148">
        <f>D20+TH!D46</f>
        <v>1.9</v>
      </c>
      <c r="E24" s="149"/>
      <c r="F24" s="148">
        <f>IF($B28="x",C24,TH!$D$211)</f>
        <v>40.272035367892116</v>
      </c>
      <c r="G24" s="148">
        <f>IF($B28="x",D24,TH!$D$212)</f>
        <v>1.9</v>
      </c>
      <c r="H24" s="149"/>
      <c r="I24" s="150"/>
      <c r="J24" s="150"/>
      <c r="K24" s="150"/>
      <c r="L24" s="150"/>
      <c r="M24" s="151"/>
      <c r="R24" s="143" t="str">
        <f>TH!$H$19</f>
        <v>x</v>
      </c>
      <c r="S24" s="165">
        <f>S23-TH!$D$8*SIN(ATAN($X$16))</f>
        <v>18.654247909172561</v>
      </c>
      <c r="T24" s="165">
        <f>T23+TH!$D$8*COS(ATAN($X$16))</f>
        <v>17.759648346451794</v>
      </c>
      <c r="U24" s="165">
        <f t="shared" si="3"/>
        <v>18.654247909172561</v>
      </c>
      <c r="V24" s="165">
        <f t="shared" si="4"/>
        <v>17.759648346451794</v>
      </c>
      <c r="W24" s="165"/>
      <c r="X24" s="164"/>
    </row>
    <row r="25" spans="1:24" x14ac:dyDescent="0.2">
      <c r="A25" s="153"/>
      <c r="B25" s="154"/>
      <c r="C25" s="155">
        <f>C14</f>
        <v>89.539999999999992</v>
      </c>
      <c r="D25" s="155">
        <f>D24</f>
        <v>1.9</v>
      </c>
      <c r="E25" s="156"/>
      <c r="F25" s="155">
        <f>IF($B28="x",C25,TH!$D$211)</f>
        <v>89.539999999999992</v>
      </c>
      <c r="G25" s="155">
        <f>IF($B28="x",D25,TH!$D$212)</f>
        <v>1.9</v>
      </c>
      <c r="H25" s="156"/>
      <c r="I25" s="157">
        <f t="shared" ref="I25:J28" si="5">C24-C25</f>
        <v>-49.267964632107876</v>
      </c>
      <c r="J25" s="157">
        <f t="shared" si="5"/>
        <v>0</v>
      </c>
      <c r="K25" s="157">
        <f>(I25^2+J25^2)^0.5</f>
        <v>49.267964632107876</v>
      </c>
      <c r="L25" s="157"/>
      <c r="M25" s="158"/>
      <c r="R25" s="143" t="str">
        <f>TH!$H$19</f>
        <v>x</v>
      </c>
      <c r="S25" s="165">
        <f>S21+TH!$D$5*COS(ATAN($X$16))/2</f>
        <v>37.995169075273765</v>
      </c>
      <c r="T25" s="165">
        <f>T21+(TH!$D$5)*SIN(ATAN($X$16))/2</f>
        <v>4.4255937325446446</v>
      </c>
      <c r="U25" s="165">
        <f t="shared" si="3"/>
        <v>37.995169075273765</v>
      </c>
      <c r="V25" s="165">
        <f t="shared" si="4"/>
        <v>4.4255937325446446</v>
      </c>
      <c r="W25" s="165"/>
      <c r="X25" s="164"/>
    </row>
    <row r="26" spans="1:24" x14ac:dyDescent="0.2">
      <c r="A26" s="153"/>
      <c r="B26" s="154"/>
      <c r="C26" s="155">
        <f>C25</f>
        <v>89.539999999999992</v>
      </c>
      <c r="D26" s="155">
        <f>D25-TH!D46</f>
        <v>0</v>
      </c>
      <c r="E26" s="156"/>
      <c r="F26" s="155">
        <f>IF($B28="x",C26,TH!$D$211)</f>
        <v>89.539999999999992</v>
      </c>
      <c r="G26" s="155">
        <f>IF($B28="x",D26,TH!$D$212)</f>
        <v>0</v>
      </c>
      <c r="H26" s="156"/>
      <c r="I26" s="157">
        <f t="shared" si="5"/>
        <v>0</v>
      </c>
      <c r="J26" s="157">
        <f t="shared" si="5"/>
        <v>1.9</v>
      </c>
      <c r="K26" s="157">
        <f>(I26^2+J26^2)^0.5</f>
        <v>1.9</v>
      </c>
      <c r="L26" s="157"/>
      <c r="M26" s="158"/>
      <c r="S26" s="165"/>
      <c r="T26" s="164"/>
      <c r="U26" s="165"/>
      <c r="V26" s="165"/>
      <c r="W26" s="165"/>
      <c r="X26" s="164"/>
    </row>
    <row r="27" spans="1:24" x14ac:dyDescent="0.2">
      <c r="A27" s="153"/>
      <c r="B27" s="154"/>
      <c r="C27" s="155">
        <f>C24</f>
        <v>40.272035367892116</v>
      </c>
      <c r="D27" s="155">
        <f>D26</f>
        <v>0</v>
      </c>
      <c r="E27" s="156"/>
      <c r="F27" s="155">
        <f>IF($B28="x",C27,TH!$D$211)</f>
        <v>40.272035367892116</v>
      </c>
      <c r="G27" s="155">
        <f>IF($B28="x",D27,TH!$D$212)</f>
        <v>0</v>
      </c>
      <c r="H27" s="156"/>
      <c r="I27" s="157">
        <f t="shared" si="5"/>
        <v>49.267964632107876</v>
      </c>
      <c r="J27" s="157">
        <f t="shared" si="5"/>
        <v>0</v>
      </c>
      <c r="K27" s="157">
        <f>(I27^2+J27^2)^0.5</f>
        <v>49.267964632107876</v>
      </c>
      <c r="L27" s="157"/>
      <c r="M27" s="158"/>
      <c r="R27" s="143" t="str">
        <f>TH!$H$19</f>
        <v>x</v>
      </c>
      <c r="S27" s="165">
        <f>S28-(TH!$D$4*COS(ATAN($X$16)))/2</f>
        <v>33.601404400218584</v>
      </c>
      <c r="T27" s="165">
        <f>T28-(TH!$D$4*SIN(ATAN($X$16)))/2</f>
        <v>56.947130810016368</v>
      </c>
      <c r="U27" s="165">
        <f t="shared" ref="U27:U32" si="6">IF(R27="x",S27,0)</f>
        <v>33.601404400218584</v>
      </c>
      <c r="V27" s="165">
        <f t="shared" ref="V27:V32" si="7">IF(R27="x",T27,0)</f>
        <v>56.947130810016368</v>
      </c>
      <c r="W27" s="165"/>
      <c r="X27" s="164"/>
    </row>
    <row r="28" spans="1:24" x14ac:dyDescent="0.2">
      <c r="A28" s="210" t="s">
        <v>119</v>
      </c>
      <c r="B28" s="209" t="str">
        <f>TH!H8</f>
        <v>x</v>
      </c>
      <c r="C28" s="160">
        <f>C24</f>
        <v>40.272035367892116</v>
      </c>
      <c r="D28" s="160">
        <f>D24</f>
        <v>1.9</v>
      </c>
      <c r="E28" s="166"/>
      <c r="F28" s="160">
        <f>IF($B28="x",C28,TH!$D$211)</f>
        <v>40.272035367892116</v>
      </c>
      <c r="G28" s="160">
        <f>IF($B28="x",D28,TH!$D$212)</f>
        <v>1.9</v>
      </c>
      <c r="H28" s="166"/>
      <c r="I28" s="161">
        <f t="shared" si="5"/>
        <v>0</v>
      </c>
      <c r="J28" s="161">
        <f t="shared" si="5"/>
        <v>-1.9</v>
      </c>
      <c r="K28" s="161">
        <f>(I28^2+J28^2)^0.5</f>
        <v>1.9</v>
      </c>
      <c r="L28" s="159"/>
      <c r="M28" s="162"/>
      <c r="R28" s="143" t="str">
        <f>TH!$H$19</f>
        <v>x</v>
      </c>
      <c r="S28" s="165">
        <f>S21</f>
        <v>35.877692123439942</v>
      </c>
      <c r="T28" s="165">
        <f>T21</f>
        <v>29.737177866265956</v>
      </c>
      <c r="U28" s="165">
        <f t="shared" si="6"/>
        <v>35.877692123439942</v>
      </c>
      <c r="V28" s="165">
        <f t="shared" si="7"/>
        <v>29.737177866265956</v>
      </c>
      <c r="W28" s="165"/>
      <c r="X28" s="164"/>
    </row>
    <row r="29" spans="1:24" x14ac:dyDescent="0.2">
      <c r="R29" s="143" t="str">
        <f>TH!$H$19</f>
        <v>x</v>
      </c>
      <c r="S29" s="165">
        <f>S22</f>
        <v>9.8067604657069865</v>
      </c>
      <c r="T29" s="165">
        <f>T22</f>
        <v>27.55617660587712</v>
      </c>
      <c r="U29" s="165">
        <f t="shared" si="6"/>
        <v>9.8067604657069865</v>
      </c>
      <c r="V29" s="165">
        <f t="shared" si="7"/>
        <v>27.55617660587712</v>
      </c>
      <c r="W29" s="165"/>
      <c r="X29" s="164"/>
    </row>
    <row r="30" spans="1:24" x14ac:dyDescent="0.2">
      <c r="A30" s="146" t="str">
        <f>TH!I9</f>
        <v>Panel E (back)</v>
      </c>
      <c r="B30" s="147"/>
      <c r="C30" s="148">
        <f>C19+TH!D42</f>
        <v>1.9</v>
      </c>
      <c r="D30" s="148">
        <f>D18</f>
        <v>91.44</v>
      </c>
      <c r="E30" s="149"/>
      <c r="F30" s="148">
        <f>IF($B34="x",C30,TH!$D$211)</f>
        <v>1.9</v>
      </c>
      <c r="G30" s="148">
        <f>IF($B34="x",D30,TH!$D$212)</f>
        <v>91.44</v>
      </c>
      <c r="H30" s="149"/>
      <c r="I30" s="150"/>
      <c r="J30" s="150"/>
      <c r="K30" s="150"/>
      <c r="L30" s="150"/>
      <c r="M30" s="151"/>
      <c r="R30" s="143" t="str">
        <f>TH!$H$19</f>
        <v>x</v>
      </c>
      <c r="S30" s="165">
        <f>S29-TH!$D$7*COS(ATAN($X$16))/2</f>
        <v>8.9314255053032419</v>
      </c>
      <c r="T30" s="165">
        <f>T29-TH!$D$7*SIN(ATAN($X$16))/2</f>
        <v>38.01962673989577</v>
      </c>
      <c r="U30" s="165">
        <f t="shared" si="6"/>
        <v>8.9314255053032419</v>
      </c>
      <c r="V30" s="165">
        <f t="shared" si="7"/>
        <v>38.01962673989577</v>
      </c>
      <c r="W30" s="164"/>
      <c r="X30" s="164"/>
    </row>
    <row r="31" spans="1:24" x14ac:dyDescent="0.2">
      <c r="A31" s="153"/>
      <c r="B31" s="154"/>
      <c r="C31" s="155">
        <f>C18-TH!D43</f>
        <v>89.539999999999992</v>
      </c>
      <c r="D31" s="155">
        <f>D30</f>
        <v>91.44</v>
      </c>
      <c r="E31" s="156"/>
      <c r="F31" s="155">
        <f>IF($B34="x",C31,TH!$D$211)</f>
        <v>89.539999999999992</v>
      </c>
      <c r="G31" s="155">
        <f>IF($B34="x",D31,TH!$D$212)</f>
        <v>91.44</v>
      </c>
      <c r="H31" s="156"/>
      <c r="I31" s="157">
        <f t="shared" ref="I31:J34" si="8">C30-C31</f>
        <v>-87.639999999999986</v>
      </c>
      <c r="J31" s="157">
        <f t="shared" si="8"/>
        <v>0</v>
      </c>
      <c r="K31" s="157">
        <f>(I31^2+J31^2)^0.5</f>
        <v>87.639999999999986</v>
      </c>
      <c r="L31" s="157"/>
      <c r="M31" s="158"/>
      <c r="R31" s="143" t="str">
        <f>TH!$H$19</f>
        <v>x</v>
      </c>
      <c r="S31" s="165">
        <f>S30-TH!$D$8*SIN(ATAN($X$16))</f>
        <v>16.903577988365072</v>
      </c>
      <c r="T31" s="165">
        <f>T30+TH!$D$8*COS(ATAN($X$16))</f>
        <v>38.686548614489098</v>
      </c>
      <c r="U31" s="165">
        <f t="shared" si="6"/>
        <v>16.903577988365072</v>
      </c>
      <c r="V31" s="165">
        <f t="shared" si="7"/>
        <v>38.686548614489098</v>
      </c>
      <c r="W31" s="164"/>
      <c r="X31" s="164"/>
    </row>
    <row r="32" spans="1:24" x14ac:dyDescent="0.2">
      <c r="A32" s="153"/>
      <c r="B32" s="154"/>
      <c r="C32" s="155">
        <f>C31</f>
        <v>89.539999999999992</v>
      </c>
      <c r="D32" s="155">
        <f>D31-TH!D44</f>
        <v>89.539999999999992</v>
      </c>
      <c r="E32" s="156"/>
      <c r="F32" s="155">
        <f>IF($B34="x",C32,TH!$D$211)</f>
        <v>89.539999999999992</v>
      </c>
      <c r="G32" s="155">
        <f>IF($B34="x",D32,TH!$D$212)</f>
        <v>89.539999999999992</v>
      </c>
      <c r="H32" s="156"/>
      <c r="I32" s="157">
        <f t="shared" si="8"/>
        <v>0</v>
      </c>
      <c r="J32" s="157">
        <f t="shared" si="8"/>
        <v>1.9000000000000057</v>
      </c>
      <c r="K32" s="157">
        <f>(I32^2+J32^2)^0.5</f>
        <v>1.9000000000000057</v>
      </c>
      <c r="L32" s="157"/>
      <c r="M32" s="158"/>
      <c r="R32" s="143" t="str">
        <f>TH!$H$19</f>
        <v>x</v>
      </c>
      <c r="S32" s="165">
        <f>S28-TH!$D$5*COS(ATAN($X$16))/2</f>
        <v>33.76021517160612</v>
      </c>
      <c r="T32" s="165">
        <f>T28-(TH!$D$5)*SIN(ATAN($X$16))/2</f>
        <v>55.048761999987263</v>
      </c>
      <c r="U32" s="165">
        <f t="shared" si="6"/>
        <v>33.76021517160612</v>
      </c>
      <c r="V32" s="165">
        <f t="shared" si="7"/>
        <v>55.048761999987263</v>
      </c>
      <c r="W32" s="164"/>
      <c r="X32" s="164"/>
    </row>
    <row r="33" spans="1:24" x14ac:dyDescent="0.2">
      <c r="A33" s="153"/>
      <c r="B33" s="154"/>
      <c r="C33" s="155">
        <f>C30</f>
        <v>1.9</v>
      </c>
      <c r="D33" s="155">
        <f>D32</f>
        <v>89.539999999999992</v>
      </c>
      <c r="E33" s="156"/>
      <c r="F33" s="155">
        <f>IF($B34="x",C33,TH!$D$211)</f>
        <v>1.9</v>
      </c>
      <c r="G33" s="155">
        <f>IF($B34="x",D33,TH!$D$212)</f>
        <v>89.539999999999992</v>
      </c>
      <c r="H33" s="156"/>
      <c r="I33" s="157">
        <f t="shared" si="8"/>
        <v>87.639999999999986</v>
      </c>
      <c r="J33" s="157">
        <f t="shared" si="8"/>
        <v>0</v>
      </c>
      <c r="K33" s="157">
        <f>(I33^2+J33^2)^0.5</f>
        <v>87.639999999999986</v>
      </c>
      <c r="L33" s="157"/>
      <c r="M33" s="158"/>
      <c r="S33" s="165"/>
      <c r="T33" s="164"/>
      <c r="U33" s="165"/>
      <c r="V33" s="165"/>
      <c r="W33" s="164"/>
      <c r="X33" s="164"/>
    </row>
    <row r="34" spans="1:24" x14ac:dyDescent="0.2">
      <c r="A34" s="210" t="s">
        <v>119</v>
      </c>
      <c r="B34" s="209" t="str">
        <f>TH!H9</f>
        <v>x</v>
      </c>
      <c r="C34" s="160">
        <f>C33</f>
        <v>1.9</v>
      </c>
      <c r="D34" s="160">
        <f>D31</f>
        <v>91.44</v>
      </c>
      <c r="E34" s="166"/>
      <c r="F34" s="160">
        <f>IF($B34="x",C34,TH!$D$211)</f>
        <v>1.9</v>
      </c>
      <c r="G34" s="160">
        <f>IF($B34="x",D34,TH!$D$212)</f>
        <v>91.44</v>
      </c>
      <c r="H34" s="166"/>
      <c r="I34" s="161">
        <f t="shared" si="8"/>
        <v>0</v>
      </c>
      <c r="J34" s="161">
        <f t="shared" si="8"/>
        <v>-1.9000000000000057</v>
      </c>
      <c r="K34" s="161">
        <f>(I34^2+J34^2)^0.5</f>
        <v>1.9000000000000057</v>
      </c>
      <c r="L34" s="159"/>
      <c r="M34" s="162"/>
      <c r="R34" s="143" t="str">
        <f>TH!$H$19</f>
        <v>x</v>
      </c>
      <c r="S34" s="165">
        <f>S31</f>
        <v>16.903577988365072</v>
      </c>
      <c r="T34" s="165">
        <f>T31</f>
        <v>38.686548614489098</v>
      </c>
      <c r="U34" s="165">
        <f>IF(R34="x",S34,0)</f>
        <v>16.903577988365072</v>
      </c>
      <c r="V34" s="165">
        <f>IF(R34="x",T34,0)</f>
        <v>38.686548614489098</v>
      </c>
      <c r="W34" s="164"/>
      <c r="X34" s="164"/>
    </row>
    <row r="35" spans="1:24" x14ac:dyDescent="0.2">
      <c r="R35" s="143" t="str">
        <f>TH!$H$19</f>
        <v>x</v>
      </c>
      <c r="S35" s="165">
        <f>S24</f>
        <v>18.654247909172561</v>
      </c>
      <c r="T35" s="165">
        <f>T24</f>
        <v>17.759648346451794</v>
      </c>
      <c r="U35" s="165">
        <f>IF(R35="x",S35,0)</f>
        <v>18.654247909172561</v>
      </c>
      <c r="V35" s="165">
        <f>IF(R35="x",T35,0)</f>
        <v>17.759648346451794</v>
      </c>
      <c r="W35" s="164"/>
      <c r="X35" s="164"/>
    </row>
    <row r="36" spans="1:24" x14ac:dyDescent="0.2">
      <c r="A36" s="167" t="str">
        <f>TH!I10</f>
        <v>Panel F (baffle)</v>
      </c>
      <c r="B36" s="168"/>
      <c r="C36" s="169">
        <f>C27</f>
        <v>40.272035367892116</v>
      </c>
      <c r="D36" s="169">
        <f>D27</f>
        <v>0</v>
      </c>
      <c r="E36" s="170"/>
      <c r="F36" s="185">
        <f>IF($B40="x",C36,TH!$D$211)</f>
        <v>40.272035367892116</v>
      </c>
      <c r="G36" s="185">
        <f>IF($B40="x",D36,TH!$D$212)</f>
        <v>0</v>
      </c>
      <c r="H36" s="170"/>
      <c r="I36" s="171"/>
      <c r="J36" s="171"/>
      <c r="K36" s="171"/>
      <c r="L36" s="171">
        <f>IF(C37=C36,"",(D37-D36)/(C37-C36))</f>
        <v>-11.953652724201053</v>
      </c>
      <c r="M36" s="172">
        <f>IF(L36="","",D36-L36*C36)</f>
        <v>481.39792528452472</v>
      </c>
    </row>
    <row r="37" spans="1:24" x14ac:dyDescent="0.2">
      <c r="A37" s="7" t="s">
        <v>116</v>
      </c>
      <c r="B37" s="204">
        <f>O7</f>
        <v>4.7820260215391599</v>
      </c>
      <c r="C37" s="174">
        <f>C36-TH!F47*B39</f>
        <v>35.038575940612454</v>
      </c>
      <c r="D37" s="174">
        <f>D36+TH!F47*A39</f>
        <v>62.558956539897217</v>
      </c>
      <c r="E37" s="175"/>
      <c r="F37" s="189">
        <f>IF($B40="x",C37,TH!$D$211)</f>
        <v>35.038575940612454</v>
      </c>
      <c r="G37" s="189">
        <f>IF($B40="x",D37,TH!$D$212)</f>
        <v>62.558956539897217</v>
      </c>
      <c r="H37" s="175"/>
      <c r="I37" s="176">
        <f t="shared" ref="I37:J40" si="9">C36-C37</f>
        <v>5.2334594272796622</v>
      </c>
      <c r="J37" s="176">
        <f t="shared" si="9"/>
        <v>-62.558956539897217</v>
      </c>
      <c r="K37" s="176">
        <f>(I37^2+J37^2)^0.5</f>
        <v>62.777481161143534</v>
      </c>
      <c r="L37" s="176">
        <f>IF(C38=C37,"",(D38-D37)/(C38-C37))</f>
        <v>8.3656437331110209E-2</v>
      </c>
      <c r="M37" s="177">
        <f>IF(L37="","",D37-L37*C37)</f>
        <v>59.627754107550025</v>
      </c>
    </row>
    <row r="38" spans="1:24" x14ac:dyDescent="0.2">
      <c r="A38" s="205" t="s">
        <v>32</v>
      </c>
      <c r="B38" s="205" t="s">
        <v>33</v>
      </c>
      <c r="C38" s="174">
        <f>C37-TH!D47*A39</f>
        <v>33.145189725885267</v>
      </c>
      <c r="D38" s="174">
        <f>D37-TH!D47*B39</f>
        <v>62.400562594681304</v>
      </c>
      <c r="E38" s="173"/>
      <c r="F38" s="189">
        <f>IF($B40="x",C38,TH!$D$211)</f>
        <v>33.145189725885267</v>
      </c>
      <c r="G38" s="189">
        <f>IF($B40="x",D38,TH!$D$212)</f>
        <v>62.400562594681304</v>
      </c>
      <c r="H38" s="175"/>
      <c r="I38" s="176">
        <f t="shared" si="9"/>
        <v>1.8933862147271867</v>
      </c>
      <c r="J38" s="176">
        <f t="shared" si="9"/>
        <v>0.15839394521591288</v>
      </c>
      <c r="K38" s="176">
        <f>(I38^2+J38^2)^0.5</f>
        <v>1.9000000000000015</v>
      </c>
      <c r="L38" s="176">
        <f>IF(C39=C38,"",(D39-D38)/(C39-C38))</f>
        <v>-11.953652724201053</v>
      </c>
      <c r="M38" s="177">
        <f>IF(L38="","",D38-L38*C38)</f>
        <v>458.60665005567046</v>
      </c>
      <c r="Q38" s="143" t="s">
        <v>50</v>
      </c>
    </row>
    <row r="39" spans="1:24" x14ac:dyDescent="0.2">
      <c r="A39" s="201">
        <f>COS(B37*PI()/180)</f>
        <v>0.99651906038272886</v>
      </c>
      <c r="B39" s="201">
        <f>SIN(B37*PI()/180)</f>
        <v>8.336523432416626E-2</v>
      </c>
      <c r="C39" s="174">
        <f>C38+TH!F47*B39</f>
        <v>38.378649153164929</v>
      </c>
      <c r="D39" s="174">
        <f>D38-TH!F47*A39</f>
        <v>-0.15839394521591288</v>
      </c>
      <c r="E39" s="173"/>
      <c r="F39" s="189">
        <f>IF($B40="x",C39,TH!$D$211)</f>
        <v>38.378649153164929</v>
      </c>
      <c r="G39" s="189">
        <f>IF($B40="x",D39,TH!$D$212)</f>
        <v>-0.15839394521591288</v>
      </c>
      <c r="H39" s="175"/>
      <c r="I39" s="176">
        <f t="shared" si="9"/>
        <v>-5.2334594272796622</v>
      </c>
      <c r="J39" s="176">
        <f t="shared" si="9"/>
        <v>62.558956539897217</v>
      </c>
      <c r="K39" s="176">
        <f>(I39^2+J39^2)^0.5</f>
        <v>62.777481161143534</v>
      </c>
      <c r="L39" s="176">
        <f>IF(C40=C39,"",(D40-D39)/(C40-C39))</f>
        <v>8.3656437331110209E-2</v>
      </c>
      <c r="M39" s="177">
        <f>IF(L39="","",D39-L39*C39)</f>
        <v>-3.3690150029503205</v>
      </c>
      <c r="S39" s="178">
        <f>MIN(C6:D34)-5</f>
        <v>-5</v>
      </c>
      <c r="T39" s="178">
        <f>S39</f>
        <v>-5</v>
      </c>
    </row>
    <row r="40" spans="1:24" x14ac:dyDescent="0.2">
      <c r="A40" s="207" t="s">
        <v>119</v>
      </c>
      <c r="B40" s="208" t="str">
        <f>TH!H10</f>
        <v>x</v>
      </c>
      <c r="C40" s="180">
        <f>C36</f>
        <v>40.272035367892116</v>
      </c>
      <c r="D40" s="180">
        <f>D36</f>
        <v>0</v>
      </c>
      <c r="E40" s="179"/>
      <c r="F40" s="194">
        <f>IF($B40="x",C40,TH!$D$211)</f>
        <v>40.272035367892116</v>
      </c>
      <c r="G40" s="194">
        <f>IF($B40="x",D40,TH!$D$212)</f>
        <v>0</v>
      </c>
      <c r="H40" s="179"/>
      <c r="I40" s="181">
        <f t="shared" si="9"/>
        <v>-1.8933862147271867</v>
      </c>
      <c r="J40" s="181">
        <f t="shared" si="9"/>
        <v>-0.15839394521591288</v>
      </c>
      <c r="K40" s="181">
        <f>(I40^2+J40^2)^0.5</f>
        <v>1.9000000000000015</v>
      </c>
      <c r="L40" s="181"/>
      <c r="M40" s="182"/>
      <c r="S40" s="178">
        <f>S39</f>
        <v>-5</v>
      </c>
      <c r="T40" s="178">
        <f>MAX(C6:D34)</f>
        <v>91.44</v>
      </c>
    </row>
    <row r="41" spans="1:24" x14ac:dyDescent="0.2">
      <c r="Q41" s="152"/>
    </row>
    <row r="42" spans="1:24" x14ac:dyDescent="0.2">
      <c r="A42" s="183" t="str">
        <f>TH!I11</f>
        <v>Panel G (2nd inside)</v>
      </c>
      <c r="B42" s="184"/>
      <c r="C42" s="185">
        <f>C37</f>
        <v>35.038575940612454</v>
      </c>
      <c r="D42" s="185">
        <f>D37</f>
        <v>62.558956539897217</v>
      </c>
      <c r="E42" s="186"/>
      <c r="F42" s="185">
        <f>IF($B46="x",C42,TH!$D$211)</f>
        <v>35.038575940612454</v>
      </c>
      <c r="G42" s="185">
        <f>IF($B46="x",D42,TH!$D$212)</f>
        <v>62.558956539897217</v>
      </c>
      <c r="H42" s="186"/>
      <c r="I42" s="187"/>
      <c r="J42" s="187"/>
      <c r="K42" s="187"/>
      <c r="L42" s="187">
        <f>IF(C43=C42,"",(D43-D42)/(C43-C42))</f>
        <v>-11.953652724200916</v>
      </c>
      <c r="M42" s="188">
        <f>IF(L42="","",D42-L42*C42)</f>
        <v>481.39792528451994</v>
      </c>
      <c r="Q42" s="178"/>
      <c r="S42" s="178">
        <f>S39</f>
        <v>-5</v>
      </c>
      <c r="T42" s="178">
        <f>S42</f>
        <v>-5</v>
      </c>
    </row>
    <row r="43" spans="1:24" x14ac:dyDescent="0.2">
      <c r="A43" s="7" t="s">
        <v>116</v>
      </c>
      <c r="B43" s="204">
        <f>O7</f>
        <v>4.7820260215391599</v>
      </c>
      <c r="C43" s="189">
        <f>C42+TH!D48*B45</f>
        <v>35.138614221801454</v>
      </c>
      <c r="D43" s="189">
        <f>D42-TH!D48*A45</f>
        <v>61.363133667437943</v>
      </c>
      <c r="E43" s="190"/>
      <c r="F43" s="189">
        <f>IF($B46="x",C43,TH!$D$211)</f>
        <v>35.138614221801454</v>
      </c>
      <c r="G43" s="189">
        <f>IF($B46="x",D43,TH!$D$212)</f>
        <v>61.363133667437943</v>
      </c>
      <c r="H43" s="190"/>
      <c r="I43" s="191">
        <f t="shared" ref="I43:J46" si="10">C42-C43</f>
        <v>-0.1000382811890006</v>
      </c>
      <c r="J43" s="191">
        <f t="shared" si="10"/>
        <v>1.1958228724592743</v>
      </c>
      <c r="K43" s="191">
        <f>(I43^2+J43^2)^0.5</f>
        <v>1.1999999999999997</v>
      </c>
      <c r="L43" s="191">
        <f>IF(C44=C43,"",(D44-D43)/(C44-C43))</f>
        <v>8.3656437331111694E-2</v>
      </c>
      <c r="M43" s="192">
        <f>IF(L43="","",D43-L43*C43)</f>
        <v>58.4235623888897</v>
      </c>
      <c r="Q43" s="178"/>
      <c r="S43" s="178">
        <f>T40</f>
        <v>91.44</v>
      </c>
      <c r="T43" s="178">
        <f>T42</f>
        <v>-5</v>
      </c>
    </row>
    <row r="44" spans="1:24" x14ac:dyDescent="0.2">
      <c r="A44" s="205" t="s">
        <v>32</v>
      </c>
      <c r="B44" s="205" t="s">
        <v>33</v>
      </c>
      <c r="C44" s="189">
        <f>C43+TH!F48*A45</f>
        <v>67.955630708791986</v>
      </c>
      <c r="D44" s="189">
        <f>D43+TH!F48*B45</f>
        <v>64.108488350575925</v>
      </c>
      <c r="E44" s="190"/>
      <c r="F44" s="189">
        <f>IF($B46="x",C44,TH!$D$211)</f>
        <v>67.955630708791986</v>
      </c>
      <c r="G44" s="189">
        <f>IF($B46="x",D44,TH!$D$212)</f>
        <v>64.108488350575925</v>
      </c>
      <c r="H44" s="190"/>
      <c r="I44" s="191">
        <f t="shared" si="10"/>
        <v>-32.817016486990532</v>
      </c>
      <c r="J44" s="191">
        <f t="shared" si="10"/>
        <v>-2.7453546831379825</v>
      </c>
      <c r="K44" s="191">
        <f>(I44^2+J44^2)^0.5</f>
        <v>32.931649570643067</v>
      </c>
      <c r="L44" s="191">
        <f>IF(C45=C44,"",(D45-D44)/(C45-C44))</f>
        <v>-11.953652724200916</v>
      </c>
      <c r="M44" s="192">
        <f>IF(L44="","",D44-L44*C44)</f>
        <v>876.42649849751876</v>
      </c>
    </row>
    <row r="45" spans="1:24" x14ac:dyDescent="0.2">
      <c r="A45" s="201">
        <f>COS(B43*PI()/180)</f>
        <v>0.99651906038272886</v>
      </c>
      <c r="B45" s="201">
        <f>SIN(B43*PI()/180)</f>
        <v>8.336523432416626E-2</v>
      </c>
      <c r="C45" s="189">
        <f>C44-TH!D48*B45</f>
        <v>67.855592427602986</v>
      </c>
      <c r="D45" s="189">
        <f>D44+TH!D48*A45</f>
        <v>65.304311223035199</v>
      </c>
      <c r="E45" s="190"/>
      <c r="F45" s="189">
        <f>IF($B46="x",C45,TH!$D$211)</f>
        <v>67.855592427602986</v>
      </c>
      <c r="G45" s="189">
        <f>IF($B46="x",D45,TH!$D$212)</f>
        <v>65.304311223035199</v>
      </c>
      <c r="H45" s="190"/>
      <c r="I45" s="191">
        <f t="shared" si="10"/>
        <v>0.1000382811890006</v>
      </c>
      <c r="J45" s="191">
        <f t="shared" si="10"/>
        <v>-1.1958228724592743</v>
      </c>
      <c r="K45" s="191">
        <f>(I45^2+J45^2)^0.5</f>
        <v>1.1999999999999997</v>
      </c>
      <c r="L45" s="191">
        <f>IF(C46=C45,"",(D46-D45)/(C46-C45))</f>
        <v>8.3656437331111694E-2</v>
      </c>
      <c r="M45" s="192">
        <f>IF(L45="","",D45-L45*C45)</f>
        <v>59.627754107549976</v>
      </c>
    </row>
    <row r="46" spans="1:24" x14ac:dyDescent="0.2">
      <c r="A46" s="207" t="s">
        <v>119</v>
      </c>
      <c r="B46" s="208" t="str">
        <f>TH!H11</f>
        <v>x</v>
      </c>
      <c r="C46" s="194">
        <f>C42</f>
        <v>35.038575940612454</v>
      </c>
      <c r="D46" s="194">
        <f>D42</f>
        <v>62.558956539897217</v>
      </c>
      <c r="E46" s="195"/>
      <c r="F46" s="194">
        <f>IF($B46="x",C46,TH!$D$211)</f>
        <v>35.038575940612454</v>
      </c>
      <c r="G46" s="194">
        <f>IF($B46="x",D46,TH!$D$212)</f>
        <v>62.558956539897217</v>
      </c>
      <c r="H46" s="193"/>
      <c r="I46" s="196">
        <f t="shared" si="10"/>
        <v>32.817016486990532</v>
      </c>
      <c r="J46" s="196">
        <f t="shared" si="10"/>
        <v>2.7453546831379825</v>
      </c>
      <c r="K46" s="196">
        <f>(I46^2+J46^2)^0.5</f>
        <v>32.931649570643067</v>
      </c>
      <c r="L46" s="197"/>
      <c r="M46" s="198"/>
    </row>
    <row r="47" spans="1:24" x14ac:dyDescent="0.2">
      <c r="C47" s="164"/>
      <c r="D47" s="164"/>
      <c r="E47" s="164"/>
    </row>
    <row r="48" spans="1:24" x14ac:dyDescent="0.2">
      <c r="A48" s="183" t="str">
        <f>TH!I12</f>
        <v>Panel H (3rd inside)</v>
      </c>
      <c r="B48" s="184"/>
      <c r="C48" s="185">
        <f>C43+TH!$F$50*A45</f>
        <v>43.36028001473376</v>
      </c>
      <c r="D48" s="185">
        <f>D43+TH!$F$50*B45</f>
        <v>62.050928936601728</v>
      </c>
      <c r="E48" s="186"/>
      <c r="F48" s="185">
        <f>IF($B52="x",C48,TH!$D$211)</f>
        <v>43.36028001473376</v>
      </c>
      <c r="G48" s="185">
        <f>IF($B52="x",D48,TH!$D$212)</f>
        <v>62.050928936601728</v>
      </c>
      <c r="H48" s="186"/>
      <c r="I48" s="187"/>
      <c r="J48" s="187"/>
      <c r="K48" s="187"/>
      <c r="L48" s="187">
        <f>IF(C49=C48,"",(D49-D48)/(C49-C48))</f>
        <v>-11.953652724201056</v>
      </c>
      <c r="M48" s="188">
        <f>IF(L48="","",D48-L48*C48)</f>
        <v>580.36465825684456</v>
      </c>
    </row>
    <row r="49" spans="1:21" x14ac:dyDescent="0.2">
      <c r="A49" s="7" t="s">
        <v>116</v>
      </c>
      <c r="B49" s="204">
        <f>O7</f>
        <v>4.7820260215391599</v>
      </c>
      <c r="C49" s="189">
        <f>C48+TH!F49*B51</f>
        <v>47.712724459317201</v>
      </c>
      <c r="D49" s="189">
        <f>D48-TH!F49*A51</f>
        <v>10.023319544673129</v>
      </c>
      <c r="E49" s="190"/>
      <c r="F49" s="189">
        <f>IF($B52="x",C49,TH!$D$211)</f>
        <v>47.712724459317201</v>
      </c>
      <c r="G49" s="189">
        <f>IF($B52="x",D49,TH!$D$212)</f>
        <v>10.023319544673129</v>
      </c>
      <c r="H49" s="190"/>
      <c r="I49" s="191">
        <f t="shared" ref="I49:J52" si="11">C48-C49</f>
        <v>-4.3524444445834405</v>
      </c>
      <c r="J49" s="191">
        <f t="shared" si="11"/>
        <v>52.0276093919286</v>
      </c>
      <c r="K49" s="191">
        <f>(I49^2+J49^2)^0.5</f>
        <v>52.209346976209943</v>
      </c>
      <c r="L49" s="191">
        <f>IF(C50=C49,"",(D50-D49)/(C50-C49))</f>
        <v>8.3656437331111333E-2</v>
      </c>
      <c r="M49" s="192">
        <f>IF(L49="","",D49-L49*C49)</f>
        <v>6.0318430010456758</v>
      </c>
    </row>
    <row r="50" spans="1:21" x14ac:dyDescent="0.2">
      <c r="A50" s="205" t="s">
        <v>32</v>
      </c>
      <c r="B50" s="205" t="s">
        <v>33</v>
      </c>
      <c r="C50" s="189">
        <f>C49-TH!D49*A51</f>
        <v>46.516901586857927</v>
      </c>
      <c r="D50" s="189">
        <f>D49-TH!D49*B51</f>
        <v>9.9232812634841299</v>
      </c>
      <c r="E50" s="190"/>
      <c r="F50" s="189">
        <f>IF($B52="x",C50,TH!$D$211)</f>
        <v>46.516901586857927</v>
      </c>
      <c r="G50" s="189">
        <f>IF($B52="x",D50,TH!$D$212)</f>
        <v>9.9232812634841299</v>
      </c>
      <c r="H50" s="190"/>
      <c r="I50" s="191">
        <f t="shared" si="11"/>
        <v>1.1958228724592743</v>
      </c>
      <c r="J50" s="191">
        <f t="shared" si="11"/>
        <v>0.10003828118899882</v>
      </c>
      <c r="K50" s="191">
        <f>(I50^2+J50^2)^0.5</f>
        <v>1.1999999999999995</v>
      </c>
      <c r="L50" s="191">
        <f>IF(C51=C50,"",(D51-D50)/(C51-C50))</f>
        <v>-11.953652724201056</v>
      </c>
      <c r="M50" s="192">
        <f>IF(L50="","",D50-L50*C50)</f>
        <v>565.97016863862086</v>
      </c>
    </row>
    <row r="51" spans="1:21" x14ac:dyDescent="0.2">
      <c r="A51" s="201">
        <f>COS(B49*PI()/180)</f>
        <v>0.99651906038272886</v>
      </c>
      <c r="B51" s="201">
        <f>SIN(B49*PI()/180)</f>
        <v>8.336523432416626E-2</v>
      </c>
      <c r="C51" s="189">
        <f>C50-TH!F49*B51</f>
        <v>42.164457142274486</v>
      </c>
      <c r="D51" s="189">
        <f>D50+TH!F49*A51</f>
        <v>61.950890655412728</v>
      </c>
      <c r="E51" s="190"/>
      <c r="F51" s="189">
        <f>IF($B52="x",C51,TH!$D$211)</f>
        <v>42.164457142274486</v>
      </c>
      <c r="G51" s="189">
        <f>IF($B52="x",D51,TH!$D$212)</f>
        <v>61.950890655412728</v>
      </c>
      <c r="H51" s="190"/>
      <c r="I51" s="191">
        <f t="shared" si="11"/>
        <v>4.3524444445834405</v>
      </c>
      <c r="J51" s="191">
        <f t="shared" si="11"/>
        <v>-52.0276093919286</v>
      </c>
      <c r="K51" s="191">
        <f>(I51^2+J51^2)^0.5</f>
        <v>52.209346976209943</v>
      </c>
      <c r="L51" s="191">
        <f>IF(C52=C51,"",(D52-D51)/(C52-C51))</f>
        <v>8.3656437331112818E-2</v>
      </c>
      <c r="M51" s="192">
        <f>IF(L51="","",D51-L51*C51)</f>
        <v>58.42356238888965</v>
      </c>
    </row>
    <row r="52" spans="1:21" x14ac:dyDescent="0.2">
      <c r="A52" s="207" t="s">
        <v>119</v>
      </c>
      <c r="B52" s="208" t="str">
        <f>TH!H12</f>
        <v>x</v>
      </c>
      <c r="C52" s="194">
        <f>C48</f>
        <v>43.36028001473376</v>
      </c>
      <c r="D52" s="194">
        <f>D48</f>
        <v>62.050928936601728</v>
      </c>
      <c r="E52" s="195"/>
      <c r="F52" s="194">
        <f>IF($B52="x",C52,TH!$D$211)</f>
        <v>43.36028001473376</v>
      </c>
      <c r="G52" s="194">
        <f>IF($B52="x",D52,TH!$D$212)</f>
        <v>62.050928936601728</v>
      </c>
      <c r="H52" s="193"/>
      <c r="I52" s="196">
        <f t="shared" si="11"/>
        <v>-1.1958228724592743</v>
      </c>
      <c r="J52" s="196">
        <f t="shared" si="11"/>
        <v>-0.1000382811890006</v>
      </c>
      <c r="K52" s="196">
        <f>(I52^2+J52^2)^0.5</f>
        <v>1.1999999999999997</v>
      </c>
      <c r="L52" s="197"/>
      <c r="M52" s="198"/>
    </row>
    <row r="53" spans="1:21" x14ac:dyDescent="0.2">
      <c r="C53" s="164"/>
      <c r="D53" s="164"/>
      <c r="E53" s="164"/>
    </row>
    <row r="54" spans="1:21" x14ac:dyDescent="0.2">
      <c r="A54" s="183" t="str">
        <f>TH!I13</f>
        <v>Panel I (4th inside)</v>
      </c>
      <c r="B54" s="184"/>
      <c r="C54" s="185">
        <f>C24+TH!F52</f>
        <v>56.134206743353026</v>
      </c>
      <c r="D54" s="185">
        <f>D24</f>
        <v>1.9</v>
      </c>
      <c r="E54" s="186"/>
      <c r="F54" s="185">
        <f>IF($B58="x",C54,TH!$D$211)</f>
        <v>56.134206743353026</v>
      </c>
      <c r="G54" s="185">
        <f>IF($B58="x",D54,TH!$D$212)</f>
        <v>1.9</v>
      </c>
      <c r="H54" s="186"/>
      <c r="I54" s="187"/>
      <c r="J54" s="187"/>
      <c r="K54" s="187"/>
      <c r="L54" s="187" t="str">
        <f>IF(C55=C54,"",(D55-D54)/(C55-C54))</f>
        <v/>
      </c>
      <c r="M54" s="188" t="str">
        <f>IF(L54="","",D54-L54*C54)</f>
        <v/>
      </c>
      <c r="P54" s="178"/>
      <c r="Q54" s="178"/>
    </row>
    <row r="55" spans="1:21" x14ac:dyDescent="0.2">
      <c r="A55" s="7" t="s">
        <v>116</v>
      </c>
      <c r="B55" s="204">
        <v>0</v>
      </c>
      <c r="C55" s="189">
        <f>C54-TH!$F$51*B57</f>
        <v>56.134206743353026</v>
      </c>
      <c r="D55" s="189">
        <f>D54+TH!$F$51*A57</f>
        <v>52.215736235370656</v>
      </c>
      <c r="E55" s="190"/>
      <c r="F55" s="189">
        <f>IF($B58="x",C55,TH!$D$211)</f>
        <v>56.134206743353026</v>
      </c>
      <c r="G55" s="189">
        <f>IF($B58="x",D55,TH!$D$212)</f>
        <v>52.215736235370656</v>
      </c>
      <c r="H55" s="190"/>
      <c r="I55" s="191">
        <f t="shared" ref="I55:J58" si="12">C54-C55</f>
        <v>0</v>
      </c>
      <c r="J55" s="191">
        <f t="shared" si="12"/>
        <v>-50.315736235370657</v>
      </c>
      <c r="K55" s="191">
        <f>(I55^2+J55^2)^0.5</f>
        <v>50.315736235370657</v>
      </c>
      <c r="L55" s="191">
        <f>IF(C56=C55,"",(D56-D55)/(C56-C55))</f>
        <v>0</v>
      </c>
      <c r="M55" s="192">
        <f>IF(L55="","",D55-L55*C55)</f>
        <v>52.215736235370656</v>
      </c>
      <c r="P55" s="178"/>
      <c r="Q55" s="178"/>
    </row>
    <row r="56" spans="1:21" x14ac:dyDescent="0.2">
      <c r="A56" s="205" t="s">
        <v>32</v>
      </c>
      <c r="B56" s="205" t="s">
        <v>33</v>
      </c>
      <c r="C56" s="189">
        <f>C55+TH!D51*A57</f>
        <v>57.334206743353029</v>
      </c>
      <c r="D56" s="189">
        <f>D55+TH!D51*B57</f>
        <v>52.215736235370656</v>
      </c>
      <c r="E56" s="190"/>
      <c r="F56" s="189">
        <f>IF($B58="x",C56,TH!$D$211)</f>
        <v>57.334206743353029</v>
      </c>
      <c r="G56" s="189">
        <f>IF($B58="x",D56,TH!$D$212)</f>
        <v>52.215736235370656</v>
      </c>
      <c r="H56" s="190"/>
      <c r="I56" s="191">
        <f t="shared" si="12"/>
        <v>-1.2000000000000028</v>
      </c>
      <c r="J56" s="191">
        <f t="shared" si="12"/>
        <v>0</v>
      </c>
      <c r="K56" s="191">
        <f>(I56^2+J56^2)^0.5</f>
        <v>1.2000000000000028</v>
      </c>
      <c r="L56" s="191" t="str">
        <f>IF(C57=C56,"",(D57-D56)/(C57-C56))</f>
        <v/>
      </c>
      <c r="M56" s="192" t="str">
        <f>IF(L56="","",D56-L56*C56)</f>
        <v/>
      </c>
      <c r="P56" s="178"/>
      <c r="Q56" s="178"/>
    </row>
    <row r="57" spans="1:21" x14ac:dyDescent="0.2">
      <c r="A57" s="201">
        <f>COS(B55*PI()/180)</f>
        <v>1</v>
      </c>
      <c r="B57" s="201">
        <f>SIN(B55*PI()/180)</f>
        <v>0</v>
      </c>
      <c r="C57" s="189">
        <f>C56+TH!F51*B57</f>
        <v>57.334206743353029</v>
      </c>
      <c r="D57" s="189">
        <f>D56-TH!F51*A57</f>
        <v>1.8999999999999986</v>
      </c>
      <c r="E57" s="190"/>
      <c r="F57" s="189">
        <f>IF($B58="x",C57,TH!$D$211)</f>
        <v>57.334206743353029</v>
      </c>
      <c r="G57" s="189">
        <f>IF($B58="x",D57,TH!$D$212)</f>
        <v>1.8999999999999986</v>
      </c>
      <c r="H57" s="190"/>
      <c r="I57" s="191">
        <f t="shared" si="12"/>
        <v>0</v>
      </c>
      <c r="J57" s="191">
        <f t="shared" si="12"/>
        <v>50.315736235370657</v>
      </c>
      <c r="K57" s="191">
        <f>(I57^2+J57^2)^0.5</f>
        <v>50.315736235370657</v>
      </c>
      <c r="L57" s="191">
        <f>IF(C58=C57,"",(D58-D57)/(C58-C57))</f>
        <v>-1.110223024625154E-15</v>
      </c>
      <c r="M57" s="192">
        <f>IF(L57="","",D57-L57*C57)</f>
        <v>1.9000000000000623</v>
      </c>
    </row>
    <row r="58" spans="1:21" x14ac:dyDescent="0.2">
      <c r="A58" s="207" t="s">
        <v>119</v>
      </c>
      <c r="B58" s="208" t="str">
        <f>TH!H13</f>
        <v>x</v>
      </c>
      <c r="C58" s="194">
        <f>C54</f>
        <v>56.134206743353026</v>
      </c>
      <c r="D58" s="194">
        <f>D54</f>
        <v>1.9</v>
      </c>
      <c r="E58" s="195"/>
      <c r="F58" s="194">
        <f>IF($B58="x",C58,TH!$D$211)</f>
        <v>56.134206743353026</v>
      </c>
      <c r="G58" s="194">
        <f>IF($B58="x",D58,TH!$D$212)</f>
        <v>1.9</v>
      </c>
      <c r="H58" s="193"/>
      <c r="I58" s="196">
        <f t="shared" si="12"/>
        <v>1.2000000000000028</v>
      </c>
      <c r="J58" s="196">
        <f t="shared" si="12"/>
        <v>0</v>
      </c>
      <c r="K58" s="196">
        <f>(I58^2+J58^2)^0.5</f>
        <v>1.2000000000000028</v>
      </c>
      <c r="L58" s="197"/>
      <c r="M58" s="198"/>
    </row>
    <row r="60" spans="1:21" x14ac:dyDescent="0.2">
      <c r="A60" s="183" t="str">
        <f>TH!I14</f>
        <v>Panel J (5th inside)</v>
      </c>
      <c r="B60" s="184"/>
      <c r="C60" s="185">
        <f>C45</f>
        <v>67.855592427602986</v>
      </c>
      <c r="D60" s="185">
        <f>D45</f>
        <v>65.304311223035199</v>
      </c>
      <c r="E60" s="186"/>
      <c r="F60" s="185">
        <f>IF($B64="x",C60,TH!$D$211)</f>
        <v>67.855592427602986</v>
      </c>
      <c r="G60" s="185">
        <f>IF($B64="x",D60,TH!$D$212)</f>
        <v>65.304311223035199</v>
      </c>
      <c r="H60" s="186"/>
      <c r="I60" s="187"/>
      <c r="J60" s="187"/>
      <c r="K60" s="187"/>
      <c r="L60" s="187">
        <f>IF(C61=C60,"",(D61-D60)/(C61-C60))</f>
        <v>-11.953652724201044</v>
      </c>
      <c r="M60" s="188">
        <f>IF(L60="","",D60-L60*C60)</f>
        <v>876.42649849752729</v>
      </c>
    </row>
    <row r="61" spans="1:21" x14ac:dyDescent="0.2">
      <c r="A61" s="7" t="s">
        <v>116</v>
      </c>
      <c r="B61" s="204">
        <f>O7</f>
        <v>4.7820260215391599</v>
      </c>
      <c r="C61" s="189">
        <f>C60+TH!F53*B63</f>
        <v>71.919536260218237</v>
      </c>
      <c r="D61" s="189">
        <f>D60-TH!F53*A63</f>
        <v>16.725337957293867</v>
      </c>
      <c r="E61" s="190"/>
      <c r="F61" s="189">
        <f>IF($B64="x",C61,TH!$D$211)</f>
        <v>71.919536260218237</v>
      </c>
      <c r="G61" s="189">
        <f>IF($B64="x",D61,TH!$D$212)</f>
        <v>16.725337957293867</v>
      </c>
      <c r="H61" s="190"/>
      <c r="I61" s="191">
        <f t="shared" ref="I61:I64" si="13">C60-C61</f>
        <v>-4.0639438326152515</v>
      </c>
      <c r="J61" s="191">
        <f t="shared" ref="J61:J64" si="14">D60-D61</f>
        <v>48.578973265741332</v>
      </c>
      <c r="K61" s="191">
        <f>(I61^2+J61^2)^0.5</f>
        <v>48.748664423020479</v>
      </c>
      <c r="L61" s="191">
        <f>IF(C62=C61,"",(D62-D61)/(C62-C61))</f>
        <v>8.3656437331112818E-2</v>
      </c>
      <c r="M61" s="192">
        <f>IF(L61="","",D61-L61*C61)</f>
        <v>10.708805779258224</v>
      </c>
    </row>
    <row r="62" spans="1:21" x14ac:dyDescent="0.2">
      <c r="A62" s="205" t="s">
        <v>32</v>
      </c>
      <c r="B62" s="205" t="s">
        <v>33</v>
      </c>
      <c r="C62" s="189">
        <f>C61+TH!D53*A63</f>
        <v>73.115359132677511</v>
      </c>
      <c r="D62" s="189">
        <f>D61+TH!D53*B63</f>
        <v>16.825376238482868</v>
      </c>
      <c r="E62" s="190"/>
      <c r="F62" s="189">
        <f>IF($B64="x",C62,TH!$D$211)</f>
        <v>73.115359132677511</v>
      </c>
      <c r="G62" s="189">
        <f>IF($B64="x",D62,TH!$D$212)</f>
        <v>16.825376238482868</v>
      </c>
      <c r="H62" s="190"/>
      <c r="I62" s="191">
        <f t="shared" si="13"/>
        <v>-1.1958228724592743</v>
      </c>
      <c r="J62" s="191">
        <f t="shared" si="14"/>
        <v>-0.1000382811890006</v>
      </c>
      <c r="K62" s="191">
        <f>(I62^2+J62^2)^0.5</f>
        <v>1.1999999999999997</v>
      </c>
      <c r="L62" s="191">
        <f>IF(C63=C62,"",(D63-D62)/(C63-C62))</f>
        <v>-11.953652724201044</v>
      </c>
      <c r="M62" s="192">
        <f>IF(L62="","",D62-L62*C62)</f>
        <v>890.82098811575099</v>
      </c>
      <c r="T62" s="199"/>
      <c r="U62" s="178"/>
    </row>
    <row r="63" spans="1:21" x14ac:dyDescent="0.2">
      <c r="A63" s="201">
        <f>COS(B61*PI()/180)</f>
        <v>0.99651906038272886</v>
      </c>
      <c r="B63" s="201">
        <f>SIN(B61*PI()/180)</f>
        <v>8.336523432416626E-2</v>
      </c>
      <c r="C63" s="189">
        <f>C62-TH!F53*B63</f>
        <v>69.05141530006226</v>
      </c>
      <c r="D63" s="189">
        <f>D62+TH!F53*A63</f>
        <v>65.4043495042242</v>
      </c>
      <c r="E63" s="190"/>
      <c r="F63" s="189">
        <f>IF($B64="x",C63,TH!$D$211)</f>
        <v>69.05141530006226</v>
      </c>
      <c r="G63" s="189">
        <f>IF($B64="x",D63,TH!$D$212)</f>
        <v>65.4043495042242</v>
      </c>
      <c r="H63" s="190"/>
      <c r="I63" s="191">
        <f t="shared" si="13"/>
        <v>4.0639438326152515</v>
      </c>
      <c r="J63" s="191">
        <f t="shared" si="14"/>
        <v>-48.578973265741332</v>
      </c>
      <c r="K63" s="191">
        <f>(I63^2+J63^2)^0.5</f>
        <v>48.748664423020479</v>
      </c>
      <c r="L63" s="191">
        <f>IF(C64=C63,"",(D64-D63)/(C64-C63))</f>
        <v>8.3656437331112818E-2</v>
      </c>
      <c r="M63" s="192">
        <f>IF(L63="","",D63-L63*C63)</f>
        <v>59.627754107549897</v>
      </c>
    </row>
    <row r="64" spans="1:21" x14ac:dyDescent="0.2">
      <c r="A64" s="207" t="s">
        <v>119</v>
      </c>
      <c r="B64" s="208" t="str">
        <f>TH!H14</f>
        <v>x</v>
      </c>
      <c r="C64" s="194">
        <f>C60</f>
        <v>67.855592427602986</v>
      </c>
      <c r="D64" s="194">
        <f>D60</f>
        <v>65.304311223035199</v>
      </c>
      <c r="E64" s="195"/>
      <c r="F64" s="194">
        <f>IF($B64="x",C64,TH!$D$211)</f>
        <v>67.855592427602986</v>
      </c>
      <c r="G64" s="194">
        <f>IF($B64="x",D64,TH!$D$212)</f>
        <v>65.304311223035199</v>
      </c>
      <c r="H64" s="193"/>
      <c r="I64" s="196">
        <f t="shared" si="13"/>
        <v>1.1958228724592743</v>
      </c>
      <c r="J64" s="196">
        <f t="shared" si="14"/>
        <v>0.1000382811890006</v>
      </c>
      <c r="K64" s="196">
        <f>(I64^2+J64^2)^0.5</f>
        <v>1.1999999999999997</v>
      </c>
      <c r="L64" s="197"/>
      <c r="M64" s="198"/>
    </row>
    <row r="65" spans="3:4" x14ac:dyDescent="0.2">
      <c r="C65" s="178"/>
      <c r="D65" s="178"/>
    </row>
    <row r="194" ht="10.5" customHeight="1" x14ac:dyDescent="0.2"/>
    <row r="195" ht="10.5" customHeight="1" x14ac:dyDescent="0.2"/>
    <row r="196" ht="10.5" customHeight="1" x14ac:dyDescent="0.2"/>
    <row r="197" ht="10.5" customHeight="1" x14ac:dyDescent="0.2"/>
    <row r="198" ht="10.5" customHeight="1" x14ac:dyDescent="0.2"/>
    <row r="199" ht="10.5" customHeight="1" x14ac:dyDescent="0.2"/>
    <row r="200" ht="10.5" customHeight="1" x14ac:dyDescent="0.2"/>
    <row r="201" ht="10.5" customHeight="1" x14ac:dyDescent="0.2"/>
    <row r="202" ht="10.5" customHeight="1" x14ac:dyDescent="0.2"/>
    <row r="203" ht="10.5" customHeight="1" x14ac:dyDescent="0.2"/>
    <row r="204" ht="10.5" customHeight="1" x14ac:dyDescent="0.2"/>
    <row r="205" ht="10.5" customHeight="1" x14ac:dyDescent="0.2"/>
    <row r="206" ht="10.5" customHeight="1" x14ac:dyDescent="0.2"/>
    <row r="207" ht="10.5" customHeight="1" x14ac:dyDescent="0.2"/>
    <row r="208" ht="10.5" customHeight="1" x14ac:dyDescent="0.2"/>
    <row r="209" ht="10.5" customHeight="1" x14ac:dyDescent="0.2"/>
    <row r="210" ht="10.5" customHeight="1" x14ac:dyDescent="0.2"/>
    <row r="211" ht="10.5" customHeight="1" x14ac:dyDescent="0.2"/>
    <row r="212" ht="10.5" customHeight="1" x14ac:dyDescent="0.2"/>
    <row r="213" ht="10.5" customHeight="1" x14ac:dyDescent="0.2"/>
    <row r="214" ht="10.5" customHeight="1" x14ac:dyDescent="0.2"/>
    <row r="215" ht="10.5" customHeight="1" x14ac:dyDescent="0.2"/>
    <row r="216" ht="10.5" customHeight="1" x14ac:dyDescent="0.2"/>
    <row r="217" ht="10.5" customHeight="1" x14ac:dyDescent="0.2"/>
    <row r="218" ht="10.5" customHeight="1" x14ac:dyDescent="0.2"/>
    <row r="219" ht="10.5" customHeight="1" x14ac:dyDescent="0.2"/>
    <row r="220" ht="10.5" customHeight="1" x14ac:dyDescent="0.2"/>
    <row r="221" ht="10.5" customHeight="1" x14ac:dyDescent="0.2"/>
    <row r="222" ht="10.5" customHeight="1" x14ac:dyDescent="0.2"/>
    <row r="223" ht="10.5" customHeight="1" x14ac:dyDescent="0.2"/>
    <row r="224" ht="10.5" customHeight="1" x14ac:dyDescent="0.2"/>
    <row r="225" ht="10.5" customHeight="1" x14ac:dyDescent="0.2"/>
    <row r="226" ht="10.5" customHeight="1" x14ac:dyDescent="0.2"/>
    <row r="227" ht="10.5" customHeight="1" x14ac:dyDescent="0.2"/>
    <row r="228" ht="10.5" customHeight="1" x14ac:dyDescent="0.2"/>
    <row r="229" ht="10.5" customHeight="1" x14ac:dyDescent="0.2"/>
    <row r="230" ht="10.5" customHeight="1" x14ac:dyDescent="0.2"/>
    <row r="231" ht="10.5" customHeight="1" x14ac:dyDescent="0.2"/>
    <row r="232" ht="10.5" customHeight="1" x14ac:dyDescent="0.2"/>
    <row r="233" ht="10.5" customHeight="1" x14ac:dyDescent="0.2"/>
    <row r="234" ht="10.5" customHeight="1" x14ac:dyDescent="0.2"/>
    <row r="235" ht="10.5" customHeight="1" x14ac:dyDescent="0.2"/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Q152"/>
  <sheetViews>
    <sheetView topLeftCell="A66" workbookViewId="0">
      <selection activeCell="D121" sqref="D121"/>
    </sheetView>
  </sheetViews>
  <sheetFormatPr defaultRowHeight="11.25" x14ac:dyDescent="0.2"/>
  <cols>
    <col min="1" max="33" width="9.140625" style="3"/>
    <col min="34" max="34" width="15.7109375" style="3" customWidth="1"/>
    <col min="35" max="16384" width="9.140625" style="3"/>
  </cols>
  <sheetData>
    <row r="2" spans="3:34" x14ac:dyDescent="0.2">
      <c r="D2" s="2" t="s">
        <v>40</v>
      </c>
      <c r="E2" s="143" t="s">
        <v>1</v>
      </c>
      <c r="F2" s="143" t="s">
        <v>120</v>
      </c>
      <c r="G2" s="143" t="s">
        <v>12</v>
      </c>
      <c r="H2" s="143" t="s">
        <v>6</v>
      </c>
      <c r="K2" s="4" t="s">
        <v>125</v>
      </c>
      <c r="L2" s="143"/>
      <c r="M2" s="143"/>
      <c r="O2" s="2" t="s">
        <v>127</v>
      </c>
      <c r="P2" s="143"/>
      <c r="Q2" s="2" t="s">
        <v>128</v>
      </c>
      <c r="R2" s="143" t="s">
        <v>121</v>
      </c>
    </row>
    <row r="3" spans="3:34" x14ac:dyDescent="0.2">
      <c r="C3" s="2" t="s">
        <v>13</v>
      </c>
      <c r="D3" s="10">
        <f>O27</f>
        <v>402.99999999999881</v>
      </c>
      <c r="E3" s="6">
        <f>N27</f>
        <v>0</v>
      </c>
      <c r="F3" s="3">
        <f>TH!E42</f>
        <v>57.160000000000004</v>
      </c>
      <c r="H3" s="6">
        <f>D3/F3</f>
        <v>7.0503848845346182</v>
      </c>
      <c r="K3" s="178">
        <f>($D4/PI())^0.5</f>
        <v>11.3260268466955</v>
      </c>
      <c r="L3" s="178">
        <f>ATAN((K5-K3)/($E5-$E4))*180/PI()</f>
        <v>2.4661152809659854</v>
      </c>
      <c r="M3" s="163">
        <f>SIN($L3*PI()/(180*2))</f>
        <v>2.1519254497093111E-2</v>
      </c>
      <c r="O3" s="163">
        <f>LN(D5/D3)/(E5-E4)</f>
        <v>5.1005042343273644E-3</v>
      </c>
      <c r="P3" s="143"/>
      <c r="Q3" s="163">
        <f>TH!D62</f>
        <v>0.49209996710956766</v>
      </c>
      <c r="R3" s="152">
        <f>D5-2*AB129</f>
        <v>2.6692014216678217E-6</v>
      </c>
    </row>
    <row r="4" spans="3:34" x14ac:dyDescent="0.2">
      <c r="C4" s="2" t="s">
        <v>37</v>
      </c>
      <c r="D4" s="10">
        <f>O30</f>
        <v>402.99999999999864</v>
      </c>
      <c r="E4" s="6">
        <f>N30</f>
        <v>31.577481161143542</v>
      </c>
      <c r="F4" s="3">
        <f>F3</f>
        <v>57.160000000000004</v>
      </c>
      <c r="G4" s="6">
        <f>E4-E3</f>
        <v>31.577481161143542</v>
      </c>
      <c r="H4" s="6">
        <f t="shared" ref="H4:H7" si="0">D4/F4</f>
        <v>7.0503848845346155</v>
      </c>
      <c r="Q4" s="6"/>
    </row>
    <row r="5" spans="3:34" x14ac:dyDescent="0.2">
      <c r="C5" s="2" t="s">
        <v>44</v>
      </c>
      <c r="D5" s="10">
        <f>O129</f>
        <v>1813.6312480698434</v>
      </c>
      <c r="E5" s="6">
        <f>N129</f>
        <v>326.47965119222556</v>
      </c>
      <c r="F5" s="3">
        <f>F3</f>
        <v>57.160000000000004</v>
      </c>
      <c r="G5" s="6">
        <f>E5-E4</f>
        <v>294.90217003108199</v>
      </c>
      <c r="H5" s="6">
        <f t="shared" si="0"/>
        <v>31.729028132782425</v>
      </c>
      <c r="K5" s="178">
        <f>($D5/PI())^0.5</f>
        <v>24.02700056504095</v>
      </c>
      <c r="L5" s="178">
        <f>ATAN((K7-K5)/($E7-$E5))*180/PI()</f>
        <v>1.7484402174260847</v>
      </c>
      <c r="M5" s="163">
        <f>SIN($L5*PI()/(180*2))</f>
        <v>1.5257427261739754E-2</v>
      </c>
      <c r="O5" s="163">
        <f>LN(D7/D5)/(E7-E5)</f>
        <v>2.4540052434052577E-3</v>
      </c>
      <c r="Q5" s="6"/>
    </row>
    <row r="6" spans="3:34" x14ac:dyDescent="0.2">
      <c r="C6" s="2" t="s">
        <v>14</v>
      </c>
      <c r="D6" s="10">
        <f>O132</f>
        <v>1943.8572308784649</v>
      </c>
      <c r="E6" s="6">
        <f>N132</f>
        <v>353.76087907999761</v>
      </c>
      <c r="F6" s="3">
        <f>F4</f>
        <v>57.160000000000004</v>
      </c>
      <c r="G6" s="6">
        <f>E6-E5</f>
        <v>27.281227887772047</v>
      </c>
      <c r="H6" s="6">
        <f>D6/F6</f>
        <v>34.007299350567962</v>
      </c>
      <c r="K6" s="178"/>
      <c r="L6" s="178"/>
      <c r="M6" s="163"/>
      <c r="Q6" s="6"/>
    </row>
    <row r="7" spans="3:34" x14ac:dyDescent="0.2">
      <c r="C7" s="2" t="s">
        <v>45</v>
      </c>
      <c r="D7" s="10">
        <f>O138</f>
        <v>2082.9265366884524</v>
      </c>
      <c r="E7" s="6">
        <f>N138</f>
        <v>382.89470738499978</v>
      </c>
      <c r="F7" s="3">
        <f>F3</f>
        <v>57.160000000000004</v>
      </c>
      <c r="G7" s="6">
        <f>E7-E6</f>
        <v>29.133828305002169</v>
      </c>
      <c r="H7" s="6">
        <f t="shared" si="0"/>
        <v>36.440282307355709</v>
      </c>
      <c r="I7" s="6">
        <f>ATAN((H7-H4)/(E7-E4))*180/PI()</f>
        <v>4.7820179082218921</v>
      </c>
      <c r="K7" s="178">
        <f>(D7/PI())^0.5</f>
        <v>25.749099184680201</v>
      </c>
      <c r="L7" s="143"/>
      <c r="M7" s="143"/>
      <c r="Q7" s="6"/>
    </row>
    <row r="8" spans="3:34" x14ac:dyDescent="0.2">
      <c r="L8" s="178"/>
      <c r="M8" s="163"/>
      <c r="Q8" s="6"/>
    </row>
    <row r="9" spans="3:34" x14ac:dyDescent="0.2">
      <c r="C9" s="2" t="s">
        <v>58</v>
      </c>
      <c r="D9" s="5" t="str">
        <f>TH!D31</f>
        <v>Exp</v>
      </c>
      <c r="F9" s="2" t="s">
        <v>134</v>
      </c>
      <c r="G9" s="1">
        <f>SUM(G4:G7)</f>
        <v>382.89470738499978</v>
      </c>
    </row>
    <row r="11" spans="3:34" x14ac:dyDescent="0.2">
      <c r="D11" s="6"/>
    </row>
    <row r="12" spans="3:34" x14ac:dyDescent="0.2">
      <c r="D12" s="6"/>
    </row>
    <row r="13" spans="3:34" x14ac:dyDescent="0.2">
      <c r="D13" s="6"/>
    </row>
    <row r="16" spans="3:34" x14ac:dyDescent="0.2">
      <c r="C16" s="7" t="s">
        <v>58</v>
      </c>
      <c r="AH16" s="2" t="s">
        <v>59</v>
      </c>
    </row>
    <row r="17" spans="1:43" x14ac:dyDescent="0.2">
      <c r="C17" s="11" t="s">
        <v>32</v>
      </c>
      <c r="D17" s="12"/>
      <c r="E17" s="13">
        <f>COS(TH!$D$40*PI()/180)</f>
        <v>0.99651906038272886</v>
      </c>
    </row>
    <row r="18" spans="1:43" x14ac:dyDescent="0.2">
      <c r="C18" s="14" t="s">
        <v>33</v>
      </c>
      <c r="D18" s="15"/>
      <c r="E18" s="16">
        <f>SIN(TH!$D$40*PI()/180)</f>
        <v>8.336523432416626E-2</v>
      </c>
      <c r="AQ18" s="8"/>
    </row>
    <row r="19" spans="1:43" x14ac:dyDescent="0.2">
      <c r="C19" s="14" t="s">
        <v>36</v>
      </c>
      <c r="D19" s="15"/>
      <c r="E19" s="16">
        <f>TAN(TH!$D$40*PI()/180)</f>
        <v>8.3656437331111888E-2</v>
      </c>
      <c r="AQ19" s="6"/>
    </row>
    <row r="20" spans="1:43" x14ac:dyDescent="0.2">
      <c r="C20" s="14"/>
      <c r="D20" s="15"/>
      <c r="E20" s="17"/>
      <c r="AQ20" s="6"/>
    </row>
    <row r="21" spans="1:43" x14ac:dyDescent="0.2">
      <c r="C21" s="14" t="s">
        <v>32</v>
      </c>
      <c r="D21" s="15"/>
      <c r="E21" s="16">
        <f>COS(TH!$D$40*PI()/(180*2))</f>
        <v>0.99912938611141067</v>
      </c>
    </row>
    <row r="22" spans="1:43" x14ac:dyDescent="0.2">
      <c r="C22" s="14" t="s">
        <v>33</v>
      </c>
      <c r="D22" s="15"/>
      <c r="E22" s="16">
        <f>SIN(TH!$D$40*PI()/(180*2))</f>
        <v>4.1718938249140032E-2</v>
      </c>
      <c r="AQ22" s="6"/>
    </row>
    <row r="23" spans="1:43" x14ac:dyDescent="0.2">
      <c r="C23" s="18" t="s">
        <v>36</v>
      </c>
      <c r="D23" s="19"/>
      <c r="E23" s="20">
        <f>TAN(TH!$D$40*PI()/(180*2))</f>
        <v>4.1755290985394003E-2</v>
      </c>
      <c r="AQ23" s="6"/>
    </row>
    <row r="24" spans="1:43" x14ac:dyDescent="0.2">
      <c r="A24" s="2" t="s">
        <v>34</v>
      </c>
      <c r="C24" s="4" t="s">
        <v>5</v>
      </c>
      <c r="D24" s="4" t="s">
        <v>6</v>
      </c>
      <c r="F24" s="4" t="s">
        <v>5</v>
      </c>
      <c r="G24" s="4" t="s">
        <v>6</v>
      </c>
      <c r="I24" s="4" t="s">
        <v>12</v>
      </c>
      <c r="J24" s="4" t="s">
        <v>5</v>
      </c>
      <c r="K24" s="4" t="s">
        <v>6</v>
      </c>
      <c r="L24" s="2" t="s">
        <v>35</v>
      </c>
      <c r="M24" s="4" t="s">
        <v>12</v>
      </c>
      <c r="N24" s="2" t="s">
        <v>1</v>
      </c>
      <c r="O24" s="2" t="s">
        <v>40</v>
      </c>
      <c r="R24" s="235" t="s">
        <v>123</v>
      </c>
      <c r="S24" s="296" t="s">
        <v>124</v>
      </c>
      <c r="T24" s="297"/>
      <c r="U24" s="235" t="s">
        <v>126</v>
      </c>
      <c r="V24" s="298" t="s">
        <v>125</v>
      </c>
      <c r="W24" s="299"/>
      <c r="X24" s="235" t="s">
        <v>130</v>
      </c>
      <c r="Y24" s="300" t="s">
        <v>127</v>
      </c>
      <c r="Z24" s="301"/>
      <c r="AA24" s="235" t="s">
        <v>132</v>
      </c>
      <c r="AB24" s="302" t="s">
        <v>128</v>
      </c>
      <c r="AC24" s="303"/>
      <c r="AD24" s="235" t="s">
        <v>133</v>
      </c>
      <c r="AI24" s="4" t="s">
        <v>60</v>
      </c>
      <c r="AJ24" s="4" t="s">
        <v>61</v>
      </c>
      <c r="AK24" s="4" t="s">
        <v>62</v>
      </c>
      <c r="AL24" s="4" t="s">
        <v>63</v>
      </c>
      <c r="AM24" s="4" t="s">
        <v>64</v>
      </c>
      <c r="AN24" s="4" t="s">
        <v>65</v>
      </c>
      <c r="AO24" s="4" t="s">
        <v>5</v>
      </c>
      <c r="AP24" s="4" t="s">
        <v>6</v>
      </c>
    </row>
    <row r="25" spans="1:43" x14ac:dyDescent="0.2">
      <c r="C25" s="21">
        <f>Panels!C43</f>
        <v>35.138614221801454</v>
      </c>
      <c r="D25" s="21">
        <f>Panels!D43</f>
        <v>61.363133667437943</v>
      </c>
      <c r="E25" s="23"/>
      <c r="F25" s="22">
        <f>IF(TH!$H$18="x",C25,0)</f>
        <v>35.138614221801454</v>
      </c>
      <c r="G25" s="22">
        <f>IF(TH!$H$18="x",D25,0)</f>
        <v>61.363133667437943</v>
      </c>
      <c r="H25" s="22">
        <f>SUM(C25:C26)/2</f>
        <v>38.651535682037974</v>
      </c>
      <c r="I25" s="22">
        <f>SUM(D25:D26)/2</f>
        <v>61.657012161425335</v>
      </c>
      <c r="J25" s="22">
        <f>IF(TH!$H$17="x",H25,0)</f>
        <v>38.651535682037974</v>
      </c>
      <c r="K25" s="22">
        <f>IF(TH!$H$17="x",I25,0)</f>
        <v>61.657012161425335</v>
      </c>
      <c r="L25" s="23"/>
      <c r="M25" s="23"/>
      <c r="N25" s="23"/>
      <c r="O25" s="24"/>
      <c r="P25" s="6"/>
      <c r="R25" s="213"/>
      <c r="S25" s="14"/>
      <c r="T25" s="17"/>
      <c r="U25" s="213"/>
      <c r="V25" s="230"/>
      <c r="W25" s="231"/>
      <c r="X25" s="213"/>
      <c r="Y25" s="220"/>
      <c r="Z25" s="221"/>
      <c r="AA25" s="213"/>
      <c r="AB25" s="268"/>
      <c r="AC25" s="269"/>
      <c r="AD25" s="213"/>
      <c r="AE25" s="6">
        <f>IF(B26&gt;0,K25,"")</f>
        <v>61.657012161425335</v>
      </c>
    </row>
    <row r="26" spans="1:43" x14ac:dyDescent="0.2">
      <c r="B26" s="5">
        <v>1</v>
      </c>
      <c r="C26" s="25">
        <f>Panels!C51</f>
        <v>42.164457142274486</v>
      </c>
      <c r="D26" s="25">
        <f>Panels!D51</f>
        <v>61.950890655412728</v>
      </c>
      <c r="E26" s="27"/>
      <c r="F26" s="26">
        <f>IF(TH!$H$18="x",C26,0)</f>
        <v>42.164457142274486</v>
      </c>
      <c r="G26" s="26">
        <f>IF(TH!$H$18="x",D26,0)</f>
        <v>61.950890655412728</v>
      </c>
      <c r="H26" s="26"/>
      <c r="I26" s="26"/>
      <c r="J26" s="26">
        <f>J25</f>
        <v>38.651535682037974</v>
      </c>
      <c r="K26" s="26">
        <f>K25</f>
        <v>61.657012161425335</v>
      </c>
      <c r="L26" s="27"/>
      <c r="M26" s="27"/>
      <c r="N26" s="26"/>
      <c r="O26" s="28"/>
      <c r="R26" s="213"/>
      <c r="S26" s="14"/>
      <c r="T26" s="17"/>
      <c r="U26" s="213"/>
      <c r="V26" s="230"/>
      <c r="W26" s="231"/>
      <c r="X26" s="213"/>
      <c r="Y26" s="220"/>
      <c r="Z26" s="221"/>
      <c r="AA26" s="213"/>
      <c r="AB26" s="268"/>
      <c r="AC26" s="269"/>
      <c r="AD26" s="213"/>
      <c r="AE26" s="6">
        <f>IF(B26&gt;0,K26,"")</f>
        <v>61.657012161425335</v>
      </c>
      <c r="AQ26" s="6"/>
    </row>
    <row r="27" spans="1:43" x14ac:dyDescent="0.2">
      <c r="A27" s="2" t="s">
        <v>13</v>
      </c>
      <c r="B27" s="2"/>
      <c r="C27" s="29"/>
      <c r="D27" s="30"/>
      <c r="E27" s="30"/>
      <c r="F27" s="31"/>
      <c r="G27" s="26"/>
      <c r="H27" s="26"/>
      <c r="I27" s="26"/>
      <c r="J27" s="26">
        <f>J26</f>
        <v>38.651535682037974</v>
      </c>
      <c r="K27" s="26">
        <f>K26</f>
        <v>61.657012161425335</v>
      </c>
      <c r="L27" s="32"/>
      <c r="M27" s="26">
        <v>0</v>
      </c>
      <c r="N27" s="26">
        <f>M27</f>
        <v>0</v>
      </c>
      <c r="O27" s="33">
        <f>((C25-C26)^2+(D25-D26)^2)^0.5*Path!$F$3</f>
        <v>402.99999999999881</v>
      </c>
      <c r="P27" s="10">
        <f t="shared" ref="P27:P51" si="1">O27/2</f>
        <v>201.4999999999994</v>
      </c>
      <c r="Q27" s="10">
        <f t="shared" ref="Q27:Q51" si="2">-P27</f>
        <v>-201.4999999999994</v>
      </c>
      <c r="R27" s="214">
        <f>($P27-S27)*2</f>
        <v>0</v>
      </c>
      <c r="S27" s="224">
        <f>$O27/2</f>
        <v>201.4999999999994</v>
      </c>
      <c r="T27" s="225">
        <f t="shared" ref="T27:T51" si="3">-S27</f>
        <v>-201.4999999999994</v>
      </c>
      <c r="U27" s="214">
        <f>($P27-V27)*2</f>
        <v>0</v>
      </c>
      <c r="V27" s="224">
        <f>$O27/2</f>
        <v>201.4999999999994</v>
      </c>
      <c r="W27" s="225">
        <f t="shared" ref="W27:W29" si="4">-V27</f>
        <v>-201.4999999999994</v>
      </c>
      <c r="X27" s="214">
        <f>($P27-Y27)*2</f>
        <v>0</v>
      </c>
      <c r="Y27" s="224">
        <f>$O27/2</f>
        <v>201.4999999999994</v>
      </c>
      <c r="Z27" s="225">
        <f t="shared" ref="Z27:Z29" si="5">-Y27</f>
        <v>-201.4999999999994</v>
      </c>
      <c r="AA27" s="214">
        <f>($P27-AB27)*2</f>
        <v>0</v>
      </c>
      <c r="AB27" s="224">
        <f>$O27/2</f>
        <v>201.4999999999994</v>
      </c>
      <c r="AC27" s="225">
        <f t="shared" ref="AC27:AC29" si="6">-AB27</f>
        <v>-201.4999999999994</v>
      </c>
      <c r="AD27" s="214">
        <f>IF($D$9="Par",Path!R27,IF($D$9="Con",Path!U27,IF($D$9="Exp",Path!X27,IF($D$9="Hyp",Path!AA27))))</f>
        <v>0</v>
      </c>
      <c r="AE27" s="6">
        <f>IF(B26&gt;0,K27,"")</f>
        <v>61.657012161425335</v>
      </c>
    </row>
    <row r="28" spans="1:43" x14ac:dyDescent="0.2">
      <c r="C28" s="21">
        <f>AO29</f>
        <v>37.771078338167129</v>
      </c>
      <c r="D28" s="22">
        <f>AP29</f>
        <v>29.89557181148183</v>
      </c>
      <c r="E28" s="23"/>
      <c r="F28" s="22">
        <f>IF(TH!$H$18="x",C28,0)</f>
        <v>37.771078338167129</v>
      </c>
      <c r="G28" s="22">
        <f>IF(TH!$H$18="x",D28,0)</f>
        <v>29.89557181148183</v>
      </c>
      <c r="H28" s="22">
        <f>SUM(C28:C29)/2</f>
        <v>41.283999798403642</v>
      </c>
      <c r="I28" s="22">
        <f>SUM(D28:D29)/2</f>
        <v>30.189450305469251</v>
      </c>
      <c r="J28" s="22">
        <f>IF(TH!$H$17="x",H28,0)</f>
        <v>41.283999798403642</v>
      </c>
      <c r="K28" s="22">
        <f>IF(TH!$H$17="x",I28,0)</f>
        <v>30.189450305469251</v>
      </c>
      <c r="L28" s="34"/>
      <c r="M28" s="22">
        <f t="shared" ref="M28:O29" si="7">M27</f>
        <v>0</v>
      </c>
      <c r="N28" s="22">
        <f t="shared" si="7"/>
        <v>0</v>
      </c>
      <c r="O28" s="35">
        <f t="shared" si="7"/>
        <v>402.99999999999881</v>
      </c>
      <c r="P28" s="10">
        <f t="shared" si="1"/>
        <v>201.4999999999994</v>
      </c>
      <c r="Q28" s="10">
        <f t="shared" si="2"/>
        <v>-201.4999999999994</v>
      </c>
      <c r="R28" s="214">
        <f t="shared" ref="R28:R91" si="8">($P28-S28)*2</f>
        <v>1.7053025658242404E-13</v>
      </c>
      <c r="S28" s="224">
        <f>(($D$7-$D$4)*$N28/$E$7+$D$4)/2</f>
        <v>201.49999999999932</v>
      </c>
      <c r="T28" s="225">
        <f t="shared" si="3"/>
        <v>-201.49999999999932</v>
      </c>
      <c r="U28" s="214">
        <f t="shared" ref="U28:U91" si="9">($P28-V28)*2</f>
        <v>1.7053025658242404E-13</v>
      </c>
      <c r="V28" s="224">
        <f>(($D$7-$D$4)*$N28/$E$7+$D$4)/2</f>
        <v>201.49999999999932</v>
      </c>
      <c r="W28" s="225">
        <f t="shared" si="4"/>
        <v>-201.49999999999932</v>
      </c>
      <c r="X28" s="214">
        <f t="shared" ref="X28:X91" si="10">($P28-Y28)*2</f>
        <v>1.7053025658242404E-13</v>
      </c>
      <c r="Y28" s="224">
        <f>(($D$7-$D$4)*$N28/$E$7+$D$4)/2</f>
        <v>201.49999999999932</v>
      </c>
      <c r="Z28" s="225">
        <f t="shared" si="5"/>
        <v>-201.49999999999932</v>
      </c>
      <c r="AA28" s="214">
        <f t="shared" ref="AA28:AA91" si="11">($P28-AB28)*2</f>
        <v>1.7053025658242404E-13</v>
      </c>
      <c r="AB28" s="224">
        <f>(($D$7-$D$4)*$N28/$E$7+$D$4)/2</f>
        <v>201.49999999999932</v>
      </c>
      <c r="AC28" s="225">
        <f t="shared" si="6"/>
        <v>-201.49999999999932</v>
      </c>
      <c r="AD28" s="214">
        <f>IF($D$9="Par",Path!R28,IF($D$9="Con",Path!U28,IF($D$9="Exp",Path!X28,IF($D$9="Hyp",Path!AA28))))</f>
        <v>1.7053025658242404E-13</v>
      </c>
      <c r="AE28" s="6">
        <f>IF(B29&gt;0,K28,"")</f>
        <v>30.189450305469251</v>
      </c>
      <c r="AH28" s="2" t="s">
        <v>66</v>
      </c>
      <c r="AI28" s="6">
        <f>Panels!S22</f>
        <v>9.8067604657069865</v>
      </c>
      <c r="AJ28" s="6">
        <f>Panels!T22</f>
        <v>27.55617660587712</v>
      </c>
      <c r="AK28" s="6">
        <f>Panels!S28</f>
        <v>35.877692123439942</v>
      </c>
      <c r="AL28" s="6">
        <f>Panels!T28</f>
        <v>29.737177866265956</v>
      </c>
      <c r="AM28" s="9">
        <f>(AL28-AJ28)/(AK28-AI28)</f>
        <v>8.3656437331111819E-2</v>
      </c>
      <c r="AN28" s="9">
        <f>(AL28*AI28-AJ28*AK28)/(AI28-AK28)</f>
        <v>26.735777963556476</v>
      </c>
      <c r="AP28" s="6"/>
    </row>
    <row r="29" spans="1:43" x14ac:dyDescent="0.2">
      <c r="A29" s="1" t="s">
        <v>37</v>
      </c>
      <c r="B29" s="5">
        <f>B26+1</f>
        <v>2</v>
      </c>
      <c r="C29" s="25">
        <f>AO30</f>
        <v>44.796921258640154</v>
      </c>
      <c r="D29" s="25">
        <f>AP30</f>
        <v>30.483328799456672</v>
      </c>
      <c r="E29" s="27"/>
      <c r="F29" s="26">
        <f>IF(TH!$H$18="x",C29,0)</f>
        <v>44.796921258640154</v>
      </c>
      <c r="G29" s="26">
        <f>IF(TH!$H$18="x",D29,0)</f>
        <v>30.483328799456672</v>
      </c>
      <c r="H29" s="26"/>
      <c r="I29" s="26"/>
      <c r="J29" s="26">
        <f>J28</f>
        <v>41.283999798403642</v>
      </c>
      <c r="K29" s="26">
        <f>K28</f>
        <v>30.189450305469251</v>
      </c>
      <c r="L29" s="32"/>
      <c r="M29" s="26">
        <f t="shared" si="7"/>
        <v>0</v>
      </c>
      <c r="N29" s="26">
        <f t="shared" si="7"/>
        <v>0</v>
      </c>
      <c r="O29" s="33">
        <f t="shared" si="7"/>
        <v>402.99999999999881</v>
      </c>
      <c r="P29" s="10">
        <f t="shared" si="1"/>
        <v>201.4999999999994</v>
      </c>
      <c r="Q29" s="10">
        <f t="shared" si="2"/>
        <v>-201.4999999999994</v>
      </c>
      <c r="R29" s="214">
        <f t="shared" si="8"/>
        <v>1.7053025658242404E-13</v>
      </c>
      <c r="S29" s="224">
        <f>(($D$7-$D$4)*$N29/$E$7+$D$4)/2</f>
        <v>201.49999999999932</v>
      </c>
      <c r="T29" s="225">
        <f t="shared" si="3"/>
        <v>-201.49999999999932</v>
      </c>
      <c r="U29" s="214">
        <f t="shared" si="9"/>
        <v>1.7053025658242404E-13</v>
      </c>
      <c r="V29" s="224">
        <f>(($D$7-$D$4)*$N29/$E$7+$D$4)/2</f>
        <v>201.49999999999932</v>
      </c>
      <c r="W29" s="225">
        <f t="shared" si="4"/>
        <v>-201.49999999999932</v>
      </c>
      <c r="X29" s="214">
        <f t="shared" si="10"/>
        <v>1.7053025658242404E-13</v>
      </c>
      <c r="Y29" s="224">
        <f>(($D$7-$D$4)*$N29/$E$7+$D$4)/2</f>
        <v>201.49999999999932</v>
      </c>
      <c r="Z29" s="225">
        <f t="shared" si="5"/>
        <v>-201.49999999999932</v>
      </c>
      <c r="AA29" s="214">
        <f t="shared" si="11"/>
        <v>1.7053025658242404E-13</v>
      </c>
      <c r="AB29" s="224">
        <f>(($D$7-$D$4)*$N29/$E$7+$D$4)/2</f>
        <v>201.49999999999932</v>
      </c>
      <c r="AC29" s="225">
        <f t="shared" si="6"/>
        <v>-201.49999999999932</v>
      </c>
      <c r="AD29" s="214">
        <f>IF($D$9="Par",Path!R29,IF($D$9="Con",Path!U29,IF($D$9="Exp",Path!X29,IF($D$9="Hyp",Path!AA29))))</f>
        <v>1.7053025658242404E-13</v>
      </c>
      <c r="AE29" s="6">
        <f>IF(B29&gt;0,K29,"")</f>
        <v>30.189450305469251</v>
      </c>
      <c r="AH29" s="2" t="str">
        <f>Panels!A36</f>
        <v>Panel F (baffle)</v>
      </c>
      <c r="AI29" s="6">
        <f>Panels!C37</f>
        <v>35.038575940612454</v>
      </c>
      <c r="AJ29" s="6">
        <f>Panels!D37</f>
        <v>62.558956539897217</v>
      </c>
      <c r="AK29" s="6">
        <f>Panels!C36</f>
        <v>40.272035367892116</v>
      </c>
      <c r="AL29" s="6">
        <f>Panels!D36</f>
        <v>0</v>
      </c>
      <c r="AM29" s="9">
        <f>(AL29-AJ29)/(AK29-AI29)</f>
        <v>-11.953652724201053</v>
      </c>
      <c r="AN29" s="9">
        <f>(AL29*AI29-AJ29*AK29)/(AI29-AK29)</f>
        <v>481.39792528452472</v>
      </c>
      <c r="AO29" s="6">
        <f>(AN28-AN29)/(AM29-AM28)</f>
        <v>37.771078338167129</v>
      </c>
      <c r="AP29" s="6">
        <f>AO29*AM29+AN29</f>
        <v>29.89557181148183</v>
      </c>
    </row>
    <row r="30" spans="1:43" x14ac:dyDescent="0.2">
      <c r="C30" s="36"/>
      <c r="D30" s="37"/>
      <c r="E30" s="37"/>
      <c r="F30" s="38"/>
      <c r="G30" s="39"/>
      <c r="H30" s="39"/>
      <c r="I30" s="39"/>
      <c r="J30" s="26">
        <f>J29</f>
        <v>41.283999798403642</v>
      </c>
      <c r="K30" s="26">
        <f>K29</f>
        <v>30.189450305469251</v>
      </c>
      <c r="L30" s="40"/>
      <c r="M30" s="39">
        <f>((H28-H25)^2+(I28-I25)^2)^0.5</f>
        <v>31.577481161143542</v>
      </c>
      <c r="N30" s="39">
        <f>N27+M30</f>
        <v>31.577481161143542</v>
      </c>
      <c r="O30" s="33">
        <f>((C28-C29)^2+(D28-D29)^2)^0.5*Path!$F$3</f>
        <v>402.99999999999864</v>
      </c>
      <c r="P30" s="10">
        <f t="shared" si="1"/>
        <v>201.49999999999932</v>
      </c>
      <c r="Q30" s="10">
        <f t="shared" si="2"/>
        <v>-201.49999999999932</v>
      </c>
      <c r="R30" s="214">
        <f t="shared" si="8"/>
        <v>0</v>
      </c>
      <c r="S30" s="224">
        <f>(($D$5-$D$4)*(N30-$E$4)/($E$5-$E$4)+$D$4)/2</f>
        <v>201.49999999999932</v>
      </c>
      <c r="T30" s="225">
        <f t="shared" ref="T30" si="12">-S30</f>
        <v>-201.49999999999932</v>
      </c>
      <c r="U30" s="214">
        <f t="shared" si="9"/>
        <v>0</v>
      </c>
      <c r="V30" s="232">
        <f t="shared" ref="V30:V61" si="13">PI()*($M$3*($N30-$E$4)*2+$K$3)^2/2</f>
        <v>201.49999999999932</v>
      </c>
      <c r="W30" s="233">
        <f>-V30</f>
        <v>-201.49999999999932</v>
      </c>
      <c r="X30" s="214">
        <f t="shared" si="10"/>
        <v>0</v>
      </c>
      <c r="Y30" s="228">
        <f>($D$4*EXP($O$3*(N30-$E$4)))/2</f>
        <v>201.49999999999932</v>
      </c>
      <c r="Z30" s="229">
        <f>-Y30</f>
        <v>-201.49999999999932</v>
      </c>
      <c r="AA30" s="214">
        <f t="shared" si="11"/>
        <v>0</v>
      </c>
      <c r="AB30" s="264">
        <f>($D$4*(COSH((N30-$E$4)/($E$5-$E$4))+$Q$3*SINH((N30-$E$4)/($E$5-$E$4)))^2)/2</f>
        <v>201.49999999999932</v>
      </c>
      <c r="AC30" s="265">
        <f>-AB30</f>
        <v>-201.49999999999932</v>
      </c>
      <c r="AD30" s="214">
        <f>IF($D$9="Par",Path!R30,IF($D$9="Con",Path!U30,IF($D$9="Exp",Path!X30,IF($D$9="Hyp",Path!AA30))))</f>
        <v>0</v>
      </c>
      <c r="AE30" s="6">
        <f>IF(B29&gt;0,K30,"")</f>
        <v>30.189450305469251</v>
      </c>
      <c r="AH30" s="2" t="str">
        <f>Panels!A48</f>
        <v>Panel H (3rd inside)</v>
      </c>
      <c r="AI30" s="6">
        <f>Panels!C51</f>
        <v>42.164457142274486</v>
      </c>
      <c r="AJ30" s="6">
        <f>Panels!D51</f>
        <v>61.950890655412728</v>
      </c>
      <c r="AK30" s="6">
        <f>Panels!C50</f>
        <v>46.516901586857927</v>
      </c>
      <c r="AL30" s="6">
        <f>Panels!D50</f>
        <v>9.9232812634841299</v>
      </c>
      <c r="AM30" s="9">
        <f>(AL30-AJ30)/(AK30-AI30)</f>
        <v>-11.953652724201056</v>
      </c>
      <c r="AN30" s="9">
        <f>(AL30*AI30-AJ30*AK30)/(AI30-AK30)</f>
        <v>565.97016863862075</v>
      </c>
      <c r="AO30" s="6">
        <f>(AN28-AN30)/(AM30-AM28)</f>
        <v>44.796921258640154</v>
      </c>
      <c r="AP30" s="6">
        <f>AO30*AM30+AN30</f>
        <v>30.483328799456672</v>
      </c>
      <c r="AQ30" s="6"/>
    </row>
    <row r="31" spans="1:43" x14ac:dyDescent="0.2">
      <c r="C31" s="21">
        <f>Panels!C50</f>
        <v>46.516901586857927</v>
      </c>
      <c r="D31" s="21">
        <f>Panels!D50</f>
        <v>9.9232812634841299</v>
      </c>
      <c r="E31" s="23"/>
      <c r="F31" s="22">
        <f>IF(TH!$H$18="x",C31,0)</f>
        <v>46.516901586857927</v>
      </c>
      <c r="G31" s="22">
        <f>IF(TH!$H$18="x",D31,0)</f>
        <v>9.9232812634841299</v>
      </c>
      <c r="H31" s="22">
        <f>SUM(C31:C32)/2</f>
        <v>42.991709144590615</v>
      </c>
      <c r="I31" s="22">
        <f>SUM(D31:D32)/2</f>
        <v>9.7760858272777451</v>
      </c>
      <c r="J31" s="22">
        <f>IF(TH!$H$17="x",H31,0)</f>
        <v>42.991709144590615</v>
      </c>
      <c r="K31" s="22">
        <f>IF(TH!$H$17="x",I31,0)</f>
        <v>9.7760858272777451</v>
      </c>
      <c r="L31" s="34"/>
      <c r="M31" s="22">
        <f t="shared" ref="M31:O32" si="14">M30</f>
        <v>31.577481161143542</v>
      </c>
      <c r="N31" s="22">
        <f t="shared" si="14"/>
        <v>31.577481161143542</v>
      </c>
      <c r="O31" s="35">
        <f t="shared" si="14"/>
        <v>402.99999999999864</v>
      </c>
      <c r="P31" s="10">
        <f t="shared" si="1"/>
        <v>201.49999999999932</v>
      </c>
      <c r="Q31" s="10">
        <f t="shared" si="2"/>
        <v>-201.49999999999932</v>
      </c>
      <c r="R31" s="214">
        <f t="shared" si="8"/>
        <v>0</v>
      </c>
      <c r="S31" s="224">
        <f t="shared" ref="S31:S94" si="15">(($D$5-$D$4)*(N31-$E$4)/($E$5-$E$4)+$D$4)/2</f>
        <v>201.49999999999932</v>
      </c>
      <c r="T31" s="225">
        <f t="shared" ref="T31" si="16">-S31</f>
        <v>-201.49999999999932</v>
      </c>
      <c r="U31" s="214">
        <f t="shared" si="9"/>
        <v>0</v>
      </c>
      <c r="V31" s="232">
        <f t="shared" si="13"/>
        <v>201.49999999999932</v>
      </c>
      <c r="W31" s="233">
        <f t="shared" ref="W31:W94" si="17">-V31</f>
        <v>-201.49999999999932</v>
      </c>
      <c r="X31" s="214">
        <f t="shared" si="10"/>
        <v>0</v>
      </c>
      <c r="Y31" s="228">
        <f t="shared" ref="Y31:Y94" si="18">($D$4*EXP($O$3*(N31-$E$4)))/2</f>
        <v>201.49999999999932</v>
      </c>
      <c r="Z31" s="229">
        <f t="shared" ref="Z31:Z94" si="19">-Y31</f>
        <v>-201.49999999999932</v>
      </c>
      <c r="AA31" s="214">
        <f t="shared" si="11"/>
        <v>0</v>
      </c>
      <c r="AB31" s="264">
        <f t="shared" ref="AB31:AB94" si="20">($D$4*(COSH((N31-$E$4)/($E$5-$E$4))+$Q$3*SINH((N31-$E$4)/($E$5-$E$4)))^2)/2</f>
        <v>201.49999999999932</v>
      </c>
      <c r="AC31" s="265">
        <f t="shared" ref="AC31:AC94" si="21">-AB31</f>
        <v>-201.49999999999932</v>
      </c>
      <c r="AD31" s="214">
        <f>IF($D$9="Par",Path!R31,IF($D$9="Con",Path!U31,IF($D$9="Exp",Path!X31,IF($D$9="Hyp",Path!AA31))))</f>
        <v>0</v>
      </c>
      <c r="AE31" s="6">
        <f>IF(B32&gt;0,K31,"")</f>
        <v>9.7760858272777451</v>
      </c>
      <c r="AH31" s="2"/>
      <c r="AI31" s="6">
        <f t="shared" ref="AI31:AN31" si="22">AI29</f>
        <v>35.038575940612454</v>
      </c>
      <c r="AJ31" s="6">
        <f t="shared" si="22"/>
        <v>62.558956539897217</v>
      </c>
      <c r="AK31" s="6">
        <f t="shared" si="22"/>
        <v>40.272035367892116</v>
      </c>
      <c r="AL31" s="6">
        <f t="shared" si="22"/>
        <v>0</v>
      </c>
      <c r="AM31" s="6">
        <f t="shared" si="22"/>
        <v>-11.953652724201053</v>
      </c>
      <c r="AN31" s="6">
        <f t="shared" si="22"/>
        <v>481.39792528452472</v>
      </c>
      <c r="AO31" s="6"/>
      <c r="AP31" s="6"/>
    </row>
    <row r="32" spans="1:43" x14ac:dyDescent="0.2">
      <c r="B32" s="5">
        <f>B29+1</f>
        <v>3</v>
      </c>
      <c r="C32" s="25">
        <f>AO32</f>
        <v>39.466516702323304</v>
      </c>
      <c r="D32" s="26">
        <f>AP32</f>
        <v>9.6288903910713604</v>
      </c>
      <c r="E32" s="27"/>
      <c r="F32" s="26">
        <f>IF(TH!$H$18="x",C32,0)</f>
        <v>39.466516702323304</v>
      </c>
      <c r="G32" s="26">
        <f>IF(TH!$H$18="x",D32,0)</f>
        <v>9.6288903910713604</v>
      </c>
      <c r="H32" s="26"/>
      <c r="I32" s="26"/>
      <c r="J32" s="26">
        <f>J31</f>
        <v>42.991709144590615</v>
      </c>
      <c r="K32" s="26">
        <f>K31</f>
        <v>9.7760858272777451</v>
      </c>
      <c r="L32" s="32"/>
      <c r="M32" s="26">
        <f t="shared" si="14"/>
        <v>31.577481161143542</v>
      </c>
      <c r="N32" s="26">
        <f t="shared" si="14"/>
        <v>31.577481161143542</v>
      </c>
      <c r="O32" s="33">
        <f t="shared" si="14"/>
        <v>402.99999999999864</v>
      </c>
      <c r="P32" s="10">
        <f t="shared" si="1"/>
        <v>201.49999999999932</v>
      </c>
      <c r="Q32" s="10">
        <f t="shared" si="2"/>
        <v>-201.49999999999932</v>
      </c>
      <c r="R32" s="214">
        <f t="shared" si="8"/>
        <v>0</v>
      </c>
      <c r="S32" s="224">
        <f t="shared" si="15"/>
        <v>201.49999999999932</v>
      </c>
      <c r="T32" s="225">
        <f t="shared" ref="T32" si="23">-S32</f>
        <v>-201.49999999999932</v>
      </c>
      <c r="U32" s="214">
        <f t="shared" si="9"/>
        <v>0</v>
      </c>
      <c r="V32" s="232">
        <f t="shared" si="13"/>
        <v>201.49999999999932</v>
      </c>
      <c r="W32" s="233">
        <f t="shared" si="17"/>
        <v>-201.49999999999932</v>
      </c>
      <c r="X32" s="214">
        <f t="shared" si="10"/>
        <v>0</v>
      </c>
      <c r="Y32" s="228">
        <f t="shared" si="18"/>
        <v>201.49999999999932</v>
      </c>
      <c r="Z32" s="229">
        <f t="shared" si="19"/>
        <v>-201.49999999999932</v>
      </c>
      <c r="AA32" s="214">
        <f t="shared" si="11"/>
        <v>0</v>
      </c>
      <c r="AB32" s="264">
        <f t="shared" si="20"/>
        <v>201.49999999999932</v>
      </c>
      <c r="AC32" s="265">
        <f t="shared" si="21"/>
        <v>-201.49999999999932</v>
      </c>
      <c r="AD32" s="214">
        <f>IF($D$9="Par",Path!R32,IF($D$9="Con",Path!U32,IF($D$9="Exp",Path!X32,IF($D$9="Hyp",Path!AA32))))</f>
        <v>0</v>
      </c>
      <c r="AE32" s="6">
        <f>IF(B32&gt;0,K32,"")</f>
        <v>9.7760858272777451</v>
      </c>
      <c r="AH32" s="2" t="s">
        <v>67</v>
      </c>
      <c r="AI32" s="6">
        <f>C31</f>
        <v>46.516901586857927</v>
      </c>
      <c r="AJ32" s="6">
        <f>D31</f>
        <v>9.9232812634841299</v>
      </c>
      <c r="AK32" s="6">
        <f>AI32-10*E21</f>
        <v>36.525607725743818</v>
      </c>
      <c r="AL32" s="6">
        <f>AJ32-10*E22</f>
        <v>9.5060918809927291</v>
      </c>
      <c r="AM32" s="9">
        <f>(AL32-AJ32)/(AK32-AI32)</f>
        <v>4.1755290985394045E-2</v>
      </c>
      <c r="AN32" s="9">
        <f>(AL32*AI32-AJ32*AK32)/(AI32-AK32)</f>
        <v>7.980954501985936</v>
      </c>
      <c r="AO32" s="6">
        <f>(AN31-AN32)/(AM32-AM31)</f>
        <v>39.466516702323304</v>
      </c>
      <c r="AP32" s="6">
        <f>AO32*AM32+AN32</f>
        <v>9.6288903910713604</v>
      </c>
    </row>
    <row r="33" spans="2:42" x14ac:dyDescent="0.2">
      <c r="C33" s="36"/>
      <c r="D33" s="37"/>
      <c r="E33" s="37"/>
      <c r="F33" s="38"/>
      <c r="G33" s="39"/>
      <c r="H33" s="39"/>
      <c r="I33" s="39"/>
      <c r="J33" s="26">
        <f>J32</f>
        <v>42.991709144590615</v>
      </c>
      <c r="K33" s="26">
        <f>K32</f>
        <v>9.7760858272777451</v>
      </c>
      <c r="L33" s="40"/>
      <c r="M33" s="39">
        <f>((H31-H28)^2+(I31-I28)^2)^0.5</f>
        <v>20.484670378860017</v>
      </c>
      <c r="N33" s="39">
        <f>N30+M33</f>
        <v>52.062151540003555</v>
      </c>
      <c r="O33" s="33">
        <f>((C31-C32)^2+(D31-D32)^2)^0.5*Path!$F$3</f>
        <v>403.35116312459394</v>
      </c>
      <c r="P33" s="10">
        <f t="shared" si="1"/>
        <v>201.67558156229697</v>
      </c>
      <c r="Q33" s="10">
        <f t="shared" si="2"/>
        <v>-201.67558156229697</v>
      </c>
      <c r="R33" s="214">
        <f t="shared" si="8"/>
        <v>-97.634945759530808</v>
      </c>
      <c r="S33" s="224">
        <f t="shared" si="15"/>
        <v>250.49305444206237</v>
      </c>
      <c r="T33" s="225">
        <f t="shared" si="3"/>
        <v>-250.49305444206237</v>
      </c>
      <c r="U33" s="214">
        <f t="shared" si="9"/>
        <v>-64.830580850387435</v>
      </c>
      <c r="V33" s="232">
        <f t="shared" si="13"/>
        <v>234.09087198749069</v>
      </c>
      <c r="W33" s="233">
        <f t="shared" si="17"/>
        <v>-234.09087198749069</v>
      </c>
      <c r="X33" s="214">
        <f t="shared" si="10"/>
        <v>-44.033473824424334</v>
      </c>
      <c r="Y33" s="228">
        <f t="shared" si="18"/>
        <v>223.69231847450914</v>
      </c>
      <c r="Z33" s="229">
        <f t="shared" si="19"/>
        <v>-223.69231847450914</v>
      </c>
      <c r="AA33" s="214">
        <f t="shared" si="11"/>
        <v>-29.707941656921605</v>
      </c>
      <c r="AB33" s="264">
        <f t="shared" si="20"/>
        <v>216.52955239075777</v>
      </c>
      <c r="AC33" s="265">
        <f t="shared" si="21"/>
        <v>-216.52955239075777</v>
      </c>
      <c r="AD33" s="214">
        <f>IF($D$9="Par",Path!R33,IF($D$9="Con",Path!U33,IF($D$9="Exp",Path!X33,IF($D$9="Hyp",Path!AA33))))</f>
        <v>-44.033473824424334</v>
      </c>
      <c r="AE33" s="6">
        <f>IF(B32&gt;0,K33,"")</f>
        <v>9.7760858272777451</v>
      </c>
    </row>
    <row r="34" spans="2:42" x14ac:dyDescent="0.2">
      <c r="B34" s="2"/>
      <c r="C34" s="21">
        <f>C31</f>
        <v>46.516901586857927</v>
      </c>
      <c r="D34" s="22">
        <f>D31</f>
        <v>9.9232812634841299</v>
      </c>
      <c r="E34" s="23"/>
      <c r="F34" s="22">
        <f>IF(TH!$H$18="x",C34,0)</f>
        <v>46.516901586857927</v>
      </c>
      <c r="G34" s="22">
        <f>IF(TH!$H$18="x",D34,0)</f>
        <v>9.9232812634841299</v>
      </c>
      <c r="H34" s="22">
        <f>SUM(C34:C35)/2</f>
        <v>43.193088810982815</v>
      </c>
      <c r="I34" s="22">
        <f>SUM(D34:D35)/2</f>
        <v>7.8438632295099051</v>
      </c>
      <c r="J34" s="22">
        <f>IF(TH!$H$17="x",H34,0)</f>
        <v>43.193088810982815</v>
      </c>
      <c r="K34" s="22">
        <f>IF(TH!$H$17="x",I34,0)</f>
        <v>7.8438632295099051</v>
      </c>
      <c r="L34" s="34"/>
      <c r="M34" s="22">
        <f t="shared" ref="M34:O35" si="24">M33</f>
        <v>20.484670378860017</v>
      </c>
      <c r="N34" s="22">
        <f t="shared" si="24"/>
        <v>52.062151540003555</v>
      </c>
      <c r="O34" s="35">
        <f t="shared" si="24"/>
        <v>403.35116312459394</v>
      </c>
      <c r="P34" s="10">
        <f t="shared" si="1"/>
        <v>201.67558156229697</v>
      </c>
      <c r="Q34" s="10">
        <f t="shared" si="2"/>
        <v>-201.67558156229697</v>
      </c>
      <c r="R34" s="214">
        <f t="shared" si="8"/>
        <v>-97.634945759530808</v>
      </c>
      <c r="S34" s="224">
        <f t="shared" si="15"/>
        <v>250.49305444206237</v>
      </c>
      <c r="T34" s="225">
        <f t="shared" si="3"/>
        <v>-250.49305444206237</v>
      </c>
      <c r="U34" s="214">
        <f t="shared" si="9"/>
        <v>-64.830580850387435</v>
      </c>
      <c r="V34" s="232">
        <f t="shared" si="13"/>
        <v>234.09087198749069</v>
      </c>
      <c r="W34" s="233">
        <f t="shared" si="17"/>
        <v>-234.09087198749069</v>
      </c>
      <c r="X34" s="214">
        <f t="shared" si="10"/>
        <v>-44.033473824424334</v>
      </c>
      <c r="Y34" s="228">
        <f t="shared" si="18"/>
        <v>223.69231847450914</v>
      </c>
      <c r="Z34" s="229">
        <f t="shared" si="19"/>
        <v>-223.69231847450914</v>
      </c>
      <c r="AA34" s="214">
        <f t="shared" si="11"/>
        <v>-29.707941656921605</v>
      </c>
      <c r="AB34" s="264">
        <f t="shared" si="20"/>
        <v>216.52955239075777</v>
      </c>
      <c r="AC34" s="265">
        <f t="shared" si="21"/>
        <v>-216.52955239075777</v>
      </c>
      <c r="AD34" s="214">
        <f>IF($D$9="Par",Path!R34,IF($D$9="Con",Path!U34,IF($D$9="Exp",Path!X34,IF($D$9="Hyp",Path!AA34))))</f>
        <v>-44.033473824424334</v>
      </c>
      <c r="AE34" s="6">
        <f>IF(B35&gt;0,K34,"")</f>
        <v>7.8438632295099051</v>
      </c>
    </row>
    <row r="35" spans="2:42" x14ac:dyDescent="0.2">
      <c r="B35" s="5">
        <f>B32+1</f>
        <v>4</v>
      </c>
      <c r="C35" s="25">
        <f>(C32+Panels!C28)/2</f>
        <v>39.86927603510771</v>
      </c>
      <c r="D35" s="25">
        <f>(D32+Panels!D28)/2</f>
        <v>5.7644451955356804</v>
      </c>
      <c r="E35" s="27"/>
      <c r="F35" s="26">
        <f>IF(TH!$H$18="x",C35,0)</f>
        <v>39.86927603510771</v>
      </c>
      <c r="G35" s="26">
        <f>IF(TH!$H$18="x",D35,0)</f>
        <v>5.7644451955356804</v>
      </c>
      <c r="H35" s="26"/>
      <c r="I35" s="26"/>
      <c r="J35" s="26">
        <f>J34</f>
        <v>43.193088810982815</v>
      </c>
      <c r="K35" s="26">
        <f>K34</f>
        <v>7.8438632295099051</v>
      </c>
      <c r="L35" s="32"/>
      <c r="M35" s="26">
        <f t="shared" si="24"/>
        <v>20.484670378860017</v>
      </c>
      <c r="N35" s="26">
        <f t="shared" si="24"/>
        <v>52.062151540003555</v>
      </c>
      <c r="O35" s="33">
        <f t="shared" si="24"/>
        <v>403.35116312459394</v>
      </c>
      <c r="P35" s="10">
        <f t="shared" si="1"/>
        <v>201.67558156229697</v>
      </c>
      <c r="Q35" s="10">
        <f t="shared" si="2"/>
        <v>-201.67558156229697</v>
      </c>
      <c r="R35" s="214">
        <f t="shared" si="8"/>
        <v>-97.634945759530808</v>
      </c>
      <c r="S35" s="224">
        <f t="shared" si="15"/>
        <v>250.49305444206237</v>
      </c>
      <c r="T35" s="225">
        <f t="shared" si="3"/>
        <v>-250.49305444206237</v>
      </c>
      <c r="U35" s="214">
        <f t="shared" si="9"/>
        <v>-64.830580850387435</v>
      </c>
      <c r="V35" s="232">
        <f t="shared" si="13"/>
        <v>234.09087198749069</v>
      </c>
      <c r="W35" s="233">
        <f t="shared" si="17"/>
        <v>-234.09087198749069</v>
      </c>
      <c r="X35" s="214">
        <f t="shared" si="10"/>
        <v>-44.033473824424334</v>
      </c>
      <c r="Y35" s="228">
        <f t="shared" si="18"/>
        <v>223.69231847450914</v>
      </c>
      <c r="Z35" s="229">
        <f t="shared" si="19"/>
        <v>-223.69231847450914</v>
      </c>
      <c r="AA35" s="214">
        <f t="shared" si="11"/>
        <v>-29.707941656921605</v>
      </c>
      <c r="AB35" s="264">
        <f t="shared" si="20"/>
        <v>216.52955239075777</v>
      </c>
      <c r="AC35" s="265">
        <f t="shared" si="21"/>
        <v>-216.52955239075777</v>
      </c>
      <c r="AD35" s="214">
        <f>IF($D$9="Par",Path!R35,IF($D$9="Con",Path!U35,IF($D$9="Exp",Path!X35,IF($D$9="Hyp",Path!AA35))))</f>
        <v>-44.033473824424334</v>
      </c>
      <c r="AE35" s="6">
        <f>IF(B35&gt;0,K35,"")</f>
        <v>7.8438632295099051</v>
      </c>
    </row>
    <row r="36" spans="2:42" x14ac:dyDescent="0.2">
      <c r="B36" s="2"/>
      <c r="C36" s="41"/>
      <c r="D36" s="27"/>
      <c r="E36" s="27"/>
      <c r="F36" s="31"/>
      <c r="G36" s="26"/>
      <c r="H36" s="26"/>
      <c r="I36" s="26"/>
      <c r="J36" s="26">
        <f>J35</f>
        <v>43.193088810982815</v>
      </c>
      <c r="K36" s="26">
        <f>K35</f>
        <v>7.8438632295099051</v>
      </c>
      <c r="L36" s="32"/>
      <c r="M36" s="39">
        <f>((H34-H31)^2+(I34-I31)^2)^0.5</f>
        <v>1.9426883273857734</v>
      </c>
      <c r="N36" s="39">
        <f>N33+M36</f>
        <v>54.004839867389329</v>
      </c>
      <c r="O36" s="33">
        <f>((C34-C35)^2+(D34-D35)^2)^0.5*Path!$F$3</f>
        <v>448.21183241096867</v>
      </c>
      <c r="P36" s="10">
        <f t="shared" si="1"/>
        <v>224.10591620548433</v>
      </c>
      <c r="Q36" s="10">
        <f t="shared" si="2"/>
        <v>-224.10591620548433</v>
      </c>
      <c r="R36" s="214">
        <f t="shared" si="8"/>
        <v>-62.066906837938006</v>
      </c>
      <c r="S36" s="224">
        <f t="shared" si="15"/>
        <v>255.13936962445334</v>
      </c>
      <c r="T36" s="225">
        <f t="shared" si="3"/>
        <v>-255.13936962445334</v>
      </c>
      <c r="U36" s="214">
        <f t="shared" si="9"/>
        <v>-26.405040032528859</v>
      </c>
      <c r="V36" s="232">
        <f t="shared" si="13"/>
        <v>237.30843622174876</v>
      </c>
      <c r="W36" s="233">
        <f t="shared" si="17"/>
        <v>-237.30843622174876</v>
      </c>
      <c r="X36" s="214">
        <f t="shared" si="10"/>
        <v>-3.6278355445176089</v>
      </c>
      <c r="Y36" s="228">
        <f t="shared" si="18"/>
        <v>225.91983397774314</v>
      </c>
      <c r="Z36" s="229">
        <f t="shared" si="19"/>
        <v>-225.91983397774314</v>
      </c>
      <c r="AA36" s="214">
        <f t="shared" si="11"/>
        <v>12.030599914080369</v>
      </c>
      <c r="AB36" s="264">
        <f t="shared" si="20"/>
        <v>218.09061624844415</v>
      </c>
      <c r="AC36" s="265">
        <f t="shared" si="21"/>
        <v>-218.09061624844415</v>
      </c>
      <c r="AD36" s="214">
        <f>IF($D$9="Par",Path!R36,IF($D$9="Con",Path!U36,IF($D$9="Exp",Path!X36,IF($D$9="Hyp",Path!AA36))))</f>
        <v>-3.6278355445176089</v>
      </c>
      <c r="AE36" s="6">
        <f>IF(B35&gt;0,K36,"")</f>
        <v>7.8438632295099051</v>
      </c>
    </row>
    <row r="37" spans="2:42" x14ac:dyDescent="0.2">
      <c r="B37" s="2"/>
      <c r="C37" s="21">
        <f>C34</f>
        <v>46.516901586857927</v>
      </c>
      <c r="D37" s="22">
        <f>D34</f>
        <v>9.9232812634841299</v>
      </c>
      <c r="E37" s="23"/>
      <c r="F37" s="22">
        <f>IF(TH!$H$18="x",C37,0)</f>
        <v>46.516901586857927</v>
      </c>
      <c r="G37" s="22">
        <f>IF(TH!$H$18="x",D37,0)</f>
        <v>9.9232812634841299</v>
      </c>
      <c r="H37" s="22">
        <f>SUM(C37:C38)/2</f>
        <v>45.039438643070085</v>
      </c>
      <c r="I37" s="22">
        <f>SUM(D37:D38)/2</f>
        <v>5.9116406317420651</v>
      </c>
      <c r="J37" s="22">
        <f>IF(TH!$H$17="x",H37,0)</f>
        <v>45.039438643070085</v>
      </c>
      <c r="K37" s="22">
        <f>IF(TH!$H$17="x",I37,0)</f>
        <v>5.9116406317420651</v>
      </c>
      <c r="L37" s="34"/>
      <c r="M37" s="22">
        <f t="shared" ref="M37:O37" si="25">M36</f>
        <v>1.9426883273857734</v>
      </c>
      <c r="N37" s="22">
        <f t="shared" si="25"/>
        <v>54.004839867389329</v>
      </c>
      <c r="O37" s="35">
        <f t="shared" si="25"/>
        <v>448.21183241096867</v>
      </c>
      <c r="P37" s="10">
        <f t="shared" si="1"/>
        <v>224.10591620548433</v>
      </c>
      <c r="Q37" s="10">
        <f t="shared" si="2"/>
        <v>-224.10591620548433</v>
      </c>
      <c r="R37" s="214">
        <f t="shared" si="8"/>
        <v>-62.066906837938006</v>
      </c>
      <c r="S37" s="224">
        <f t="shared" si="15"/>
        <v>255.13936962445334</v>
      </c>
      <c r="T37" s="225">
        <f t="shared" si="3"/>
        <v>-255.13936962445334</v>
      </c>
      <c r="U37" s="214">
        <f t="shared" si="9"/>
        <v>-26.405040032528859</v>
      </c>
      <c r="V37" s="232">
        <f t="shared" si="13"/>
        <v>237.30843622174876</v>
      </c>
      <c r="W37" s="233">
        <f t="shared" si="17"/>
        <v>-237.30843622174876</v>
      </c>
      <c r="X37" s="214">
        <f t="shared" si="10"/>
        <v>-3.6278355445176089</v>
      </c>
      <c r="Y37" s="228">
        <f t="shared" si="18"/>
        <v>225.91983397774314</v>
      </c>
      <c r="Z37" s="229">
        <f t="shared" si="19"/>
        <v>-225.91983397774314</v>
      </c>
      <c r="AA37" s="214">
        <f t="shared" si="11"/>
        <v>12.030599914080369</v>
      </c>
      <c r="AB37" s="264">
        <f t="shared" si="20"/>
        <v>218.09061624844415</v>
      </c>
      <c r="AC37" s="265">
        <f t="shared" si="21"/>
        <v>-218.09061624844415</v>
      </c>
      <c r="AD37" s="214">
        <f>IF($D$9="Par",Path!R37,IF($D$9="Con",Path!U37,IF($D$9="Exp",Path!X37,IF($D$9="Hyp",Path!AA37))))</f>
        <v>-3.6278355445176089</v>
      </c>
      <c r="AE37" s="6">
        <f>IF(B38&gt;0,K37,"")</f>
        <v>5.9116406317420651</v>
      </c>
    </row>
    <row r="38" spans="2:42" x14ac:dyDescent="0.2">
      <c r="B38" s="5">
        <f>B35+1</f>
        <v>5</v>
      </c>
      <c r="C38" s="25">
        <f>(C41+Panels!C28)/2</f>
        <v>43.561975699282243</v>
      </c>
      <c r="D38" s="25">
        <f>(D92+Panels!D28)/2</f>
        <v>1.9</v>
      </c>
      <c r="E38" s="27"/>
      <c r="F38" s="26">
        <f>IF(TH!$H$18="x",C38,0)</f>
        <v>43.561975699282243</v>
      </c>
      <c r="G38" s="26">
        <f>IF(TH!$H$18="x",D38,0)</f>
        <v>1.9</v>
      </c>
      <c r="H38" s="26"/>
      <c r="I38" s="26"/>
      <c r="J38" s="26">
        <f>J37</f>
        <v>45.039438643070085</v>
      </c>
      <c r="K38" s="26">
        <f>K37</f>
        <v>5.9116406317420651</v>
      </c>
      <c r="L38" s="32"/>
      <c r="M38" s="26">
        <f t="shared" ref="M38:O38" si="26">M37</f>
        <v>1.9426883273857734</v>
      </c>
      <c r="N38" s="26">
        <f t="shared" si="26"/>
        <v>54.004839867389329</v>
      </c>
      <c r="O38" s="33">
        <f t="shared" si="26"/>
        <v>448.21183241096867</v>
      </c>
      <c r="P38" s="10">
        <f t="shared" si="1"/>
        <v>224.10591620548433</v>
      </c>
      <c r="Q38" s="10">
        <f t="shared" si="2"/>
        <v>-224.10591620548433</v>
      </c>
      <c r="R38" s="214">
        <f t="shared" si="8"/>
        <v>-62.066906837938006</v>
      </c>
      <c r="S38" s="224">
        <f t="shared" si="15"/>
        <v>255.13936962445334</v>
      </c>
      <c r="T38" s="225">
        <f t="shared" si="3"/>
        <v>-255.13936962445334</v>
      </c>
      <c r="U38" s="214">
        <f t="shared" si="9"/>
        <v>-26.405040032528859</v>
      </c>
      <c r="V38" s="232">
        <f t="shared" si="13"/>
        <v>237.30843622174876</v>
      </c>
      <c r="W38" s="233">
        <f t="shared" si="17"/>
        <v>-237.30843622174876</v>
      </c>
      <c r="X38" s="214">
        <f t="shared" si="10"/>
        <v>-3.6278355445176089</v>
      </c>
      <c r="Y38" s="228">
        <f t="shared" si="18"/>
        <v>225.91983397774314</v>
      </c>
      <c r="Z38" s="229">
        <f t="shared" si="19"/>
        <v>-225.91983397774314</v>
      </c>
      <c r="AA38" s="214">
        <f t="shared" si="11"/>
        <v>12.030599914080369</v>
      </c>
      <c r="AB38" s="264">
        <f t="shared" si="20"/>
        <v>218.09061624844415</v>
      </c>
      <c r="AC38" s="265">
        <f t="shared" si="21"/>
        <v>-218.09061624844415</v>
      </c>
      <c r="AD38" s="214">
        <f>IF($D$9="Par",Path!R38,IF($D$9="Con",Path!U38,IF($D$9="Exp",Path!X38,IF($D$9="Hyp",Path!AA38))))</f>
        <v>-3.6278355445176089</v>
      </c>
      <c r="AE38" s="6">
        <f>IF(B38&gt;0,K38,"")</f>
        <v>5.9116406317420651</v>
      </c>
    </row>
    <row r="39" spans="2:42" x14ac:dyDescent="0.2">
      <c r="B39" s="2"/>
      <c r="C39" s="42"/>
      <c r="D39" s="43"/>
      <c r="E39" s="43"/>
      <c r="F39" s="31"/>
      <c r="G39" s="26"/>
      <c r="H39" s="26"/>
      <c r="I39" s="26"/>
      <c r="J39" s="26">
        <f>J38</f>
        <v>45.039438643070085</v>
      </c>
      <c r="K39" s="26">
        <f>K38</f>
        <v>5.9116406317420651</v>
      </c>
      <c r="L39" s="32"/>
      <c r="M39" s="39">
        <f>((H37-H34)^2+(I37-I34)^2)^0.5</f>
        <v>2.672544081913971</v>
      </c>
      <c r="N39" s="39">
        <f>N36+M39</f>
        <v>56.677383949303298</v>
      </c>
      <c r="O39" s="33">
        <f>((C37-C38)^2+(D37-D38)^2)^0.5*Path!$F$3</f>
        <v>488.72511731763359</v>
      </c>
      <c r="P39" s="10">
        <f t="shared" si="1"/>
        <v>244.36255865881679</v>
      </c>
      <c r="Q39" s="10">
        <f t="shared" si="2"/>
        <v>-244.36255865881679</v>
      </c>
      <c r="R39" s="214">
        <f t="shared" si="8"/>
        <v>-34.337434927273193</v>
      </c>
      <c r="S39" s="224">
        <f t="shared" si="15"/>
        <v>261.53127612245339</v>
      </c>
      <c r="T39" s="225">
        <f t="shared" si="3"/>
        <v>-261.53127612245339</v>
      </c>
      <c r="U39" s="214">
        <f t="shared" si="9"/>
        <v>5.1837026383070111</v>
      </c>
      <c r="V39" s="232">
        <f t="shared" si="13"/>
        <v>241.77070733966329</v>
      </c>
      <c r="W39" s="233">
        <f t="shared" si="17"/>
        <v>-241.77070733966329</v>
      </c>
      <c r="X39" s="214">
        <f t="shared" si="10"/>
        <v>30.684106947265263</v>
      </c>
      <c r="Y39" s="228">
        <f t="shared" si="18"/>
        <v>229.02050518518416</v>
      </c>
      <c r="Z39" s="229">
        <f t="shared" si="19"/>
        <v>-229.02050518518416</v>
      </c>
      <c r="AA39" s="214">
        <f t="shared" si="11"/>
        <v>48.168269828153882</v>
      </c>
      <c r="AB39" s="264">
        <f t="shared" si="20"/>
        <v>220.27842374473985</v>
      </c>
      <c r="AC39" s="265">
        <f t="shared" si="21"/>
        <v>-220.27842374473985</v>
      </c>
      <c r="AD39" s="214">
        <f>IF($D$9="Par",Path!R39,IF($D$9="Con",Path!U39,IF($D$9="Exp",Path!X39,IF($D$9="Hyp",Path!AA39))))</f>
        <v>30.684106947265263</v>
      </c>
      <c r="AE39" s="6">
        <f>IF(B38&gt;0,K39,"")</f>
        <v>5.9116406317420651</v>
      </c>
    </row>
    <row r="40" spans="2:42" x14ac:dyDescent="0.2">
      <c r="B40" s="2"/>
      <c r="C40" s="25">
        <f>C37</f>
        <v>46.516901586857927</v>
      </c>
      <c r="D40" s="26">
        <f>D37</f>
        <v>9.9232812634841299</v>
      </c>
      <c r="E40" s="27"/>
      <c r="F40" s="22">
        <f>IF(TH!$H$18="x",C40,0)</f>
        <v>46.516901586857927</v>
      </c>
      <c r="G40" s="22">
        <f>IF(TH!$H$18="x",D40,0)</f>
        <v>9.9232812634841299</v>
      </c>
      <c r="H40" s="22">
        <f>SUM(C40:C41)/2</f>
        <v>46.684408808765141</v>
      </c>
      <c r="I40" s="22">
        <f>SUM(D40:D41)/2</f>
        <v>5.9116406317420642</v>
      </c>
      <c r="J40" s="26">
        <f>IF(TH!$H$17="x",H40,0)</f>
        <v>46.684408808765141</v>
      </c>
      <c r="K40" s="26">
        <f>IF(TH!$H$17="x",I40,0)</f>
        <v>5.9116406317420642</v>
      </c>
      <c r="L40" s="34"/>
      <c r="M40" s="22">
        <f t="shared" ref="M40:O40" si="27">M39</f>
        <v>2.672544081913971</v>
      </c>
      <c r="N40" s="22">
        <f t="shared" si="27"/>
        <v>56.677383949303298</v>
      </c>
      <c r="O40" s="35">
        <f t="shared" si="27"/>
        <v>488.72511731763359</v>
      </c>
      <c r="P40" s="10">
        <f t="shared" si="1"/>
        <v>244.36255865881679</v>
      </c>
      <c r="Q40" s="10">
        <f t="shared" si="2"/>
        <v>-244.36255865881679</v>
      </c>
      <c r="R40" s="214">
        <f t="shared" si="8"/>
        <v>-34.337434927273193</v>
      </c>
      <c r="S40" s="224">
        <f t="shared" si="15"/>
        <v>261.53127612245339</v>
      </c>
      <c r="T40" s="225">
        <f t="shared" si="3"/>
        <v>-261.53127612245339</v>
      </c>
      <c r="U40" s="214">
        <f t="shared" si="9"/>
        <v>5.1837026383070111</v>
      </c>
      <c r="V40" s="232">
        <f t="shared" si="13"/>
        <v>241.77070733966329</v>
      </c>
      <c r="W40" s="233">
        <f t="shared" si="17"/>
        <v>-241.77070733966329</v>
      </c>
      <c r="X40" s="214">
        <f t="shared" si="10"/>
        <v>30.684106947265263</v>
      </c>
      <c r="Y40" s="228">
        <f t="shared" si="18"/>
        <v>229.02050518518416</v>
      </c>
      <c r="Z40" s="229">
        <f t="shared" si="19"/>
        <v>-229.02050518518416</v>
      </c>
      <c r="AA40" s="214">
        <f t="shared" si="11"/>
        <v>48.168269828153882</v>
      </c>
      <c r="AB40" s="264">
        <f t="shared" si="20"/>
        <v>220.27842374473985</v>
      </c>
      <c r="AC40" s="265">
        <f t="shared" si="21"/>
        <v>-220.27842374473985</v>
      </c>
      <c r="AD40" s="214">
        <f>IF($D$9="Par",Path!R40,IF($D$9="Con",Path!U40,IF($D$9="Exp",Path!X40,IF($D$9="Hyp",Path!AA40))))</f>
        <v>30.684106947265263</v>
      </c>
      <c r="AE40" s="6">
        <f>IF(B41&gt;0,K40,"")</f>
        <v>5.9116406317420642</v>
      </c>
      <c r="AH40" s="2" t="str">
        <f>TH!I11</f>
        <v>Panel G (2nd inside)</v>
      </c>
      <c r="AI40" s="6">
        <f>Panels!C43</f>
        <v>35.138614221801454</v>
      </c>
      <c r="AJ40" s="6">
        <f>Panels!D43</f>
        <v>61.363133667437943</v>
      </c>
      <c r="AK40" s="6">
        <f>Panels!C44</f>
        <v>67.955630708791986</v>
      </c>
      <c r="AL40" s="6">
        <f>Panels!D44</f>
        <v>64.108488350575925</v>
      </c>
      <c r="AM40" s="9">
        <f>(AL40-AJ40)/(AK40-AI40)</f>
        <v>8.3656437331111694E-2</v>
      </c>
      <c r="AN40" s="9">
        <f>(AL40*AI40-AJ40*AK40)/(AI40-AK40)</f>
        <v>58.423562388889707</v>
      </c>
    </row>
    <row r="41" spans="2:42" x14ac:dyDescent="0.2">
      <c r="B41" s="5">
        <f>B38+1</f>
        <v>6</v>
      </c>
      <c r="C41" s="25">
        <f>C40+(D40-D41)*E$23</f>
        <v>46.851916030672363</v>
      </c>
      <c r="D41" s="26">
        <f>Panels!$D$57</f>
        <v>1.8999999999999986</v>
      </c>
      <c r="E41" s="27"/>
      <c r="F41" s="26">
        <f>IF(TH!$H$18="x",C41,0)</f>
        <v>46.851916030672363</v>
      </c>
      <c r="G41" s="26">
        <f>IF(TH!$H$18="x",D41,0)</f>
        <v>1.8999999999999986</v>
      </c>
      <c r="H41" s="26"/>
      <c r="I41" s="26"/>
      <c r="J41" s="26">
        <f>J40</f>
        <v>46.684408808765141</v>
      </c>
      <c r="K41" s="26">
        <f>K40</f>
        <v>5.9116406317420642</v>
      </c>
      <c r="L41" s="32"/>
      <c r="M41" s="26">
        <f t="shared" ref="M41:O41" si="28">M40</f>
        <v>2.672544081913971</v>
      </c>
      <c r="N41" s="26">
        <f t="shared" si="28"/>
        <v>56.677383949303298</v>
      </c>
      <c r="O41" s="33">
        <f t="shared" si="28"/>
        <v>488.72511731763359</v>
      </c>
      <c r="P41" s="10">
        <f t="shared" si="1"/>
        <v>244.36255865881679</v>
      </c>
      <c r="Q41" s="10">
        <f t="shared" si="2"/>
        <v>-244.36255865881679</v>
      </c>
      <c r="R41" s="214">
        <f t="shared" si="8"/>
        <v>-34.337434927273193</v>
      </c>
      <c r="S41" s="224">
        <f t="shared" si="15"/>
        <v>261.53127612245339</v>
      </c>
      <c r="T41" s="225">
        <f t="shared" si="3"/>
        <v>-261.53127612245339</v>
      </c>
      <c r="U41" s="214">
        <f t="shared" si="9"/>
        <v>5.1837026383070111</v>
      </c>
      <c r="V41" s="232">
        <f t="shared" si="13"/>
        <v>241.77070733966329</v>
      </c>
      <c r="W41" s="233">
        <f t="shared" si="17"/>
        <v>-241.77070733966329</v>
      </c>
      <c r="X41" s="214">
        <f t="shared" si="10"/>
        <v>30.684106947265263</v>
      </c>
      <c r="Y41" s="228">
        <f t="shared" si="18"/>
        <v>229.02050518518416</v>
      </c>
      <c r="Z41" s="229">
        <f t="shared" si="19"/>
        <v>-229.02050518518416</v>
      </c>
      <c r="AA41" s="214">
        <f t="shared" si="11"/>
        <v>48.168269828153882</v>
      </c>
      <c r="AB41" s="264">
        <f t="shared" si="20"/>
        <v>220.27842374473985</v>
      </c>
      <c r="AC41" s="265">
        <f t="shared" si="21"/>
        <v>-220.27842374473985</v>
      </c>
      <c r="AD41" s="214">
        <f>IF($D$9="Par",Path!R41,IF($D$9="Con",Path!U41,IF($D$9="Exp",Path!X41,IF($D$9="Hyp",Path!AA41))))</f>
        <v>30.684106947265263</v>
      </c>
      <c r="AE41" s="6">
        <f>IF(B41&gt;0,K41,"")</f>
        <v>5.9116406317420642</v>
      </c>
      <c r="AH41" s="2" t="s">
        <v>68</v>
      </c>
      <c r="AI41" s="6">
        <f>AI32</f>
        <v>46.516901586857927</v>
      </c>
      <c r="AJ41" s="6">
        <f>AJ32</f>
        <v>9.9232812634841299</v>
      </c>
      <c r="AK41" s="6">
        <f>AI41-10*$E$22</f>
        <v>46.099712204366526</v>
      </c>
      <c r="AL41" s="6">
        <f>AJ41+10*$E$21</f>
        <v>19.914575124598237</v>
      </c>
      <c r="AM41" s="9">
        <f>(AL41-AJ41)/(AK41-AI41)</f>
        <v>-23.949060739387463</v>
      </c>
      <c r="AN41" s="9">
        <f>(AL41*AI41-AJ41*AK41)/(AI41-AK41)</f>
        <v>1123.9593827752537</v>
      </c>
      <c r="AO41" s="6">
        <f>(AN40-AN41)/(AM41-AM40)</f>
        <v>44.336885111708881</v>
      </c>
      <c r="AP41" s="6">
        <f>AO41*AM41+AN41</f>
        <v>62.132628239693986</v>
      </c>
    </row>
    <row r="42" spans="2:42" x14ac:dyDescent="0.2">
      <c r="B42" s="2"/>
      <c r="C42" s="42"/>
      <c r="D42" s="43"/>
      <c r="E42" s="43"/>
      <c r="F42" s="43"/>
      <c r="G42" s="43"/>
      <c r="H42" s="43"/>
      <c r="I42" s="43"/>
      <c r="J42" s="39">
        <f>J41</f>
        <v>46.684408808765141</v>
      </c>
      <c r="K42" s="39">
        <f>K41</f>
        <v>5.9116406317420642</v>
      </c>
      <c r="L42" s="32"/>
      <c r="M42" s="39">
        <f>((H40-H37)^2+(I40-I37)^2)^0.5</f>
        <v>1.6449701656950566</v>
      </c>
      <c r="N42" s="39">
        <f>N39+M42</f>
        <v>58.322354114998355</v>
      </c>
      <c r="O42" s="33">
        <f>((C40-C41)^2+(D40-D41)^2)^0.5*Path!$F$3</f>
        <v>459.01037783069899</v>
      </c>
      <c r="P42" s="10">
        <f t="shared" si="1"/>
        <v>229.50518891534949</v>
      </c>
      <c r="Q42" s="10">
        <f t="shared" si="2"/>
        <v>-229.50518891534949</v>
      </c>
      <c r="R42" s="214">
        <f t="shared" si="8"/>
        <v>-71.920703552625127</v>
      </c>
      <c r="S42" s="224">
        <f t="shared" si="15"/>
        <v>265.46554069166206</v>
      </c>
      <c r="T42" s="225">
        <f t="shared" si="3"/>
        <v>-265.46554069166206</v>
      </c>
      <c r="U42" s="214">
        <f t="shared" si="9"/>
        <v>-30.065486103929857</v>
      </c>
      <c r="V42" s="232">
        <f t="shared" si="13"/>
        <v>244.53793196731442</v>
      </c>
      <c r="W42" s="233">
        <f t="shared" si="17"/>
        <v>-244.53793196731442</v>
      </c>
      <c r="X42" s="214">
        <f t="shared" si="10"/>
        <v>-2.8898449242342963</v>
      </c>
      <c r="Y42" s="228">
        <f t="shared" si="18"/>
        <v>230.95011137746664</v>
      </c>
      <c r="Z42" s="229">
        <f t="shared" si="19"/>
        <v>-230.95011137746664</v>
      </c>
      <c r="AA42" s="214">
        <f t="shared" si="11"/>
        <v>15.713384392030775</v>
      </c>
      <c r="AB42" s="264">
        <f t="shared" si="20"/>
        <v>221.6484967193341</v>
      </c>
      <c r="AC42" s="265">
        <f t="shared" si="21"/>
        <v>-221.6484967193341</v>
      </c>
      <c r="AD42" s="214">
        <f>IF($D$9="Par",Path!R42,IF($D$9="Con",Path!U42,IF($D$9="Exp",Path!X42,IF($D$9="Hyp",Path!AA42))))</f>
        <v>-2.8898449242342963</v>
      </c>
      <c r="AE42" s="6">
        <f>IF(B41&gt;0,K42,"")</f>
        <v>5.9116406317420642</v>
      </c>
    </row>
    <row r="43" spans="2:42" x14ac:dyDescent="0.2">
      <c r="B43" s="1"/>
      <c r="C43" s="25">
        <f>Panels!C49</f>
        <v>47.712724459317201</v>
      </c>
      <c r="D43" s="25">
        <f>Panels!D49</f>
        <v>10.023319544673129</v>
      </c>
      <c r="E43" s="27"/>
      <c r="F43" s="22">
        <f>IF(TH!$H$18="x",C43,0)</f>
        <v>47.712724459317201</v>
      </c>
      <c r="G43" s="22">
        <f>IF(TH!$H$18="x",D43,0)</f>
        <v>10.023319544673129</v>
      </c>
      <c r="H43" s="22">
        <f>SUM(C43:C44)/2</f>
        <v>47.882320244994787</v>
      </c>
      <c r="I43" s="22">
        <f>SUM(D43:D44)/2</f>
        <v>5.9616597723365636</v>
      </c>
      <c r="J43" s="26">
        <f>IF(TH!$H$17="x",H43,0)</f>
        <v>47.882320244994787</v>
      </c>
      <c r="K43" s="26">
        <f>IF(TH!$H$17="x",I43,0)</f>
        <v>5.9616597723365636</v>
      </c>
      <c r="L43" s="34"/>
      <c r="M43" s="22">
        <f t="shared" ref="M43:O43" si="29">M42</f>
        <v>1.6449701656950566</v>
      </c>
      <c r="N43" s="22">
        <f t="shared" si="29"/>
        <v>58.322354114998355</v>
      </c>
      <c r="O43" s="35">
        <f t="shared" si="29"/>
        <v>459.01037783069899</v>
      </c>
      <c r="P43" s="10">
        <f t="shared" si="1"/>
        <v>229.50518891534949</v>
      </c>
      <c r="Q43" s="10">
        <f t="shared" si="2"/>
        <v>-229.50518891534949</v>
      </c>
      <c r="R43" s="214">
        <f t="shared" si="8"/>
        <v>-71.920703552625127</v>
      </c>
      <c r="S43" s="224">
        <f t="shared" si="15"/>
        <v>265.46554069166206</v>
      </c>
      <c r="T43" s="225">
        <f t="shared" si="3"/>
        <v>-265.46554069166206</v>
      </c>
      <c r="U43" s="214">
        <f t="shared" si="9"/>
        <v>-30.065486103929857</v>
      </c>
      <c r="V43" s="232">
        <f t="shared" si="13"/>
        <v>244.53793196731442</v>
      </c>
      <c r="W43" s="233">
        <f t="shared" si="17"/>
        <v>-244.53793196731442</v>
      </c>
      <c r="X43" s="214">
        <f t="shared" si="10"/>
        <v>-2.8898449242342963</v>
      </c>
      <c r="Y43" s="228">
        <f t="shared" si="18"/>
        <v>230.95011137746664</v>
      </c>
      <c r="Z43" s="229">
        <f t="shared" si="19"/>
        <v>-230.95011137746664</v>
      </c>
      <c r="AA43" s="214">
        <f t="shared" si="11"/>
        <v>15.713384392030775</v>
      </c>
      <c r="AB43" s="264">
        <f t="shared" si="20"/>
        <v>221.6484967193341</v>
      </c>
      <c r="AC43" s="265">
        <f t="shared" si="21"/>
        <v>-221.6484967193341</v>
      </c>
      <c r="AD43" s="214">
        <f>IF($D$9="Par",Path!R43,IF($D$9="Con",Path!U43,IF($D$9="Exp",Path!X43,IF($D$9="Hyp",Path!AA43))))</f>
        <v>-2.8898449242342963</v>
      </c>
      <c r="AE43" s="6">
        <f>IF(B44&gt;0,K43,"")</f>
        <v>5.9616597723365636</v>
      </c>
    </row>
    <row r="44" spans="2:42" x14ac:dyDescent="0.2">
      <c r="B44" s="5">
        <f>B41+1</f>
        <v>7</v>
      </c>
      <c r="C44" s="25">
        <f>C43+(D43-D44)*E$23</f>
        <v>48.051916030672366</v>
      </c>
      <c r="D44" s="26">
        <f>Panels!$D$57</f>
        <v>1.8999999999999986</v>
      </c>
      <c r="E44" s="27"/>
      <c r="F44" s="26">
        <f>IF(TH!$H$18="x",C44,0)</f>
        <v>48.051916030672366</v>
      </c>
      <c r="G44" s="26">
        <f>IF(TH!$H$18="x",D44,0)</f>
        <v>1.8999999999999986</v>
      </c>
      <c r="H44" s="26"/>
      <c r="I44" s="26"/>
      <c r="J44" s="26">
        <f>J43</f>
        <v>47.882320244994787</v>
      </c>
      <c r="K44" s="26">
        <f>K43</f>
        <v>5.9616597723365636</v>
      </c>
      <c r="L44" s="32"/>
      <c r="M44" s="26">
        <f t="shared" ref="M44:O44" si="30">M43</f>
        <v>1.6449701656950566</v>
      </c>
      <c r="N44" s="26">
        <f t="shared" si="30"/>
        <v>58.322354114998355</v>
      </c>
      <c r="O44" s="33">
        <f t="shared" si="30"/>
        <v>459.01037783069899</v>
      </c>
      <c r="P44" s="10">
        <f t="shared" si="1"/>
        <v>229.50518891534949</v>
      </c>
      <c r="Q44" s="10">
        <f t="shared" si="2"/>
        <v>-229.50518891534949</v>
      </c>
      <c r="R44" s="214">
        <f t="shared" si="8"/>
        <v>-71.920703552625127</v>
      </c>
      <c r="S44" s="224">
        <f t="shared" si="15"/>
        <v>265.46554069166206</v>
      </c>
      <c r="T44" s="225">
        <f t="shared" si="3"/>
        <v>-265.46554069166206</v>
      </c>
      <c r="U44" s="214">
        <f t="shared" si="9"/>
        <v>-30.065486103929857</v>
      </c>
      <c r="V44" s="232">
        <f t="shared" si="13"/>
        <v>244.53793196731442</v>
      </c>
      <c r="W44" s="233">
        <f t="shared" si="17"/>
        <v>-244.53793196731442</v>
      </c>
      <c r="X44" s="214">
        <f t="shared" si="10"/>
        <v>-2.8898449242342963</v>
      </c>
      <c r="Y44" s="228">
        <f t="shared" si="18"/>
        <v>230.95011137746664</v>
      </c>
      <c r="Z44" s="229">
        <f t="shared" si="19"/>
        <v>-230.95011137746664</v>
      </c>
      <c r="AA44" s="214">
        <f t="shared" si="11"/>
        <v>15.713384392030775</v>
      </c>
      <c r="AB44" s="264">
        <f t="shared" si="20"/>
        <v>221.6484967193341</v>
      </c>
      <c r="AC44" s="265">
        <f t="shared" si="21"/>
        <v>-221.6484967193341</v>
      </c>
      <c r="AD44" s="214">
        <f>IF($D$9="Par",Path!R44,IF($D$9="Con",Path!U44,IF($D$9="Exp",Path!X44,IF($D$9="Hyp",Path!AA44))))</f>
        <v>-2.8898449242342963</v>
      </c>
      <c r="AE44" s="6">
        <f>IF(B44&gt;0,K44,"")</f>
        <v>5.9616597723365636</v>
      </c>
    </row>
    <row r="45" spans="2:42" x14ac:dyDescent="0.2">
      <c r="B45" s="2"/>
      <c r="C45" s="42"/>
      <c r="D45" s="43"/>
      <c r="E45" s="43"/>
      <c r="F45" s="43"/>
      <c r="G45" s="43"/>
      <c r="H45" s="43"/>
      <c r="I45" s="43"/>
      <c r="J45" s="39">
        <f>J44</f>
        <v>47.882320244994787</v>
      </c>
      <c r="K45" s="39">
        <f>K44</f>
        <v>5.9616597723365636</v>
      </c>
      <c r="L45" s="32"/>
      <c r="M45" s="39">
        <f>((H43-H40)^2+(I43-I40)^2)^0.5</f>
        <v>1.1989552633337011</v>
      </c>
      <c r="N45" s="39">
        <f>N42+M45</f>
        <v>59.521309378332056</v>
      </c>
      <c r="O45" s="33">
        <f>((C43-C44)^2+(D43-D44)^2)^0.5*Path!$F$3</f>
        <v>464.73354865546901</v>
      </c>
      <c r="P45" s="10">
        <f t="shared" si="1"/>
        <v>232.3667743277345</v>
      </c>
      <c r="Q45" s="10">
        <f t="shared" si="2"/>
        <v>-232.3667743277345</v>
      </c>
      <c r="R45" s="214">
        <f t="shared" si="8"/>
        <v>-71.932599917486414</v>
      </c>
      <c r="S45" s="224">
        <f t="shared" si="15"/>
        <v>268.33307428647771</v>
      </c>
      <c r="T45" s="225">
        <f t="shared" si="3"/>
        <v>-268.33307428647771</v>
      </c>
      <c r="U45" s="214">
        <f t="shared" si="9"/>
        <v>-28.396003731869996</v>
      </c>
      <c r="V45" s="232">
        <f t="shared" si="13"/>
        <v>246.5647761936695</v>
      </c>
      <c r="W45" s="233">
        <f t="shared" si="17"/>
        <v>-246.5647761936695</v>
      </c>
      <c r="X45" s="214">
        <f t="shared" si="10"/>
        <v>2.398786148205545E-5</v>
      </c>
      <c r="Y45" s="228">
        <f t="shared" si="18"/>
        <v>232.36676233380376</v>
      </c>
      <c r="Z45" s="229">
        <f t="shared" si="19"/>
        <v>-232.36676233380376</v>
      </c>
      <c r="AA45" s="214">
        <f t="shared" si="11"/>
        <v>19.416601330239473</v>
      </c>
      <c r="AB45" s="264">
        <f t="shared" si="20"/>
        <v>222.65847366261477</v>
      </c>
      <c r="AC45" s="265">
        <f t="shared" si="21"/>
        <v>-222.65847366261477</v>
      </c>
      <c r="AD45" s="214">
        <f>IF($D$9="Par",Path!R45,IF($D$9="Con",Path!U45,IF($D$9="Exp",Path!X45,IF($D$9="Hyp",Path!AA45))))</f>
        <v>2.398786148205545E-5</v>
      </c>
      <c r="AE45" s="6">
        <f>IF(B44&gt;0,K45,"")</f>
        <v>5.9616597723365636</v>
      </c>
    </row>
    <row r="46" spans="2:42" x14ac:dyDescent="0.2">
      <c r="B46" s="2"/>
      <c r="C46" s="25">
        <f>C43</f>
        <v>47.712724459317201</v>
      </c>
      <c r="D46" s="26">
        <f>D43</f>
        <v>10.023319544673129</v>
      </c>
      <c r="E46" s="27"/>
      <c r="F46" s="22">
        <f>IF(TH!$H$18="x",C46,0)</f>
        <v>47.712724459317201</v>
      </c>
      <c r="G46" s="22">
        <f>IF(TH!$H$18="x",D46,0)</f>
        <v>10.023319544673129</v>
      </c>
      <c r="H46" s="22">
        <f>SUM(C46:C47)/2</f>
        <v>49.902892923164949</v>
      </c>
      <c r="I46" s="22">
        <f>SUM(D46:D47)/2</f>
        <v>5.9616597723365636</v>
      </c>
      <c r="J46" s="26">
        <f>IF(TH!$H$17="x",H46,0)</f>
        <v>49.902892923164949</v>
      </c>
      <c r="K46" s="26">
        <f>IF(TH!$H$17="x",I46,0)</f>
        <v>5.9616597723365636</v>
      </c>
      <c r="L46" s="34"/>
      <c r="M46" s="22">
        <f t="shared" ref="M46:O46" si="31">M45</f>
        <v>1.1989552633337011</v>
      </c>
      <c r="N46" s="22">
        <f t="shared" si="31"/>
        <v>59.521309378332056</v>
      </c>
      <c r="O46" s="35">
        <f t="shared" si="31"/>
        <v>464.73354865546901</v>
      </c>
      <c r="P46" s="10">
        <f t="shared" si="1"/>
        <v>232.3667743277345</v>
      </c>
      <c r="Q46" s="10">
        <f t="shared" si="2"/>
        <v>-232.3667743277345</v>
      </c>
      <c r="R46" s="214">
        <f t="shared" si="8"/>
        <v>-71.932599917486414</v>
      </c>
      <c r="S46" s="224">
        <f t="shared" si="15"/>
        <v>268.33307428647771</v>
      </c>
      <c r="T46" s="225">
        <f t="shared" si="3"/>
        <v>-268.33307428647771</v>
      </c>
      <c r="U46" s="214">
        <f t="shared" si="9"/>
        <v>-28.396003731869996</v>
      </c>
      <c r="V46" s="232">
        <f t="shared" si="13"/>
        <v>246.5647761936695</v>
      </c>
      <c r="W46" s="233">
        <f t="shared" si="17"/>
        <v>-246.5647761936695</v>
      </c>
      <c r="X46" s="214">
        <f t="shared" si="10"/>
        <v>2.398786148205545E-5</v>
      </c>
      <c r="Y46" s="228">
        <f t="shared" si="18"/>
        <v>232.36676233380376</v>
      </c>
      <c r="Z46" s="229">
        <f t="shared" si="19"/>
        <v>-232.36676233380376</v>
      </c>
      <c r="AA46" s="214">
        <f t="shared" si="11"/>
        <v>19.416601330239473</v>
      </c>
      <c r="AB46" s="264">
        <f t="shared" si="20"/>
        <v>222.65847366261477</v>
      </c>
      <c r="AC46" s="265">
        <f t="shared" si="21"/>
        <v>-222.65847366261477</v>
      </c>
      <c r="AD46" s="214">
        <f>IF($D$9="Par",Path!R46,IF($D$9="Con",Path!U46,IF($D$9="Exp",Path!X46,IF($D$9="Hyp",Path!AA46))))</f>
        <v>2.398786148205545E-5</v>
      </c>
      <c r="AE46" s="6">
        <f>IF(B47&gt;0,K46,"")</f>
        <v>5.9616597723365636</v>
      </c>
    </row>
    <row r="47" spans="2:42" x14ac:dyDescent="0.2">
      <c r="B47" s="5">
        <f>B44+1</f>
        <v>8</v>
      </c>
      <c r="C47" s="25">
        <f>(C44+Panels!C54)/2</f>
        <v>52.093061387012696</v>
      </c>
      <c r="D47" s="26">
        <f>D44</f>
        <v>1.8999999999999986</v>
      </c>
      <c r="E47" s="27"/>
      <c r="F47" s="26">
        <f>IF(TH!$H$18="x",C47,0)</f>
        <v>52.093061387012696</v>
      </c>
      <c r="G47" s="26">
        <f>IF(TH!$H$18="x",D47,0)</f>
        <v>1.8999999999999986</v>
      </c>
      <c r="H47" s="26"/>
      <c r="I47" s="26"/>
      <c r="J47" s="26">
        <f>J46</f>
        <v>49.902892923164949</v>
      </c>
      <c r="K47" s="26">
        <f>K46</f>
        <v>5.9616597723365636</v>
      </c>
      <c r="L47" s="32"/>
      <c r="M47" s="26">
        <f t="shared" ref="M47:O47" si="32">M46</f>
        <v>1.1989552633337011</v>
      </c>
      <c r="N47" s="26">
        <f t="shared" si="32"/>
        <v>59.521309378332056</v>
      </c>
      <c r="O47" s="33">
        <f t="shared" si="32"/>
        <v>464.73354865546901</v>
      </c>
      <c r="P47" s="10">
        <f t="shared" si="1"/>
        <v>232.3667743277345</v>
      </c>
      <c r="Q47" s="10">
        <f t="shared" si="2"/>
        <v>-232.3667743277345</v>
      </c>
      <c r="R47" s="214">
        <f t="shared" si="8"/>
        <v>-71.932599917486414</v>
      </c>
      <c r="S47" s="224">
        <f t="shared" si="15"/>
        <v>268.33307428647771</v>
      </c>
      <c r="T47" s="225">
        <f t="shared" si="3"/>
        <v>-268.33307428647771</v>
      </c>
      <c r="U47" s="214">
        <f t="shared" si="9"/>
        <v>-28.396003731869996</v>
      </c>
      <c r="V47" s="232">
        <f t="shared" si="13"/>
        <v>246.5647761936695</v>
      </c>
      <c r="W47" s="233">
        <f t="shared" si="17"/>
        <v>-246.5647761936695</v>
      </c>
      <c r="X47" s="214">
        <f t="shared" si="10"/>
        <v>2.398786148205545E-5</v>
      </c>
      <c r="Y47" s="228">
        <f t="shared" si="18"/>
        <v>232.36676233380376</v>
      </c>
      <c r="Z47" s="229">
        <f t="shared" si="19"/>
        <v>-232.36676233380376</v>
      </c>
      <c r="AA47" s="214">
        <f t="shared" si="11"/>
        <v>19.416601330239473</v>
      </c>
      <c r="AB47" s="264">
        <f t="shared" si="20"/>
        <v>222.65847366261477</v>
      </c>
      <c r="AC47" s="265">
        <f t="shared" si="21"/>
        <v>-222.65847366261477</v>
      </c>
      <c r="AD47" s="214">
        <f>IF($D$9="Par",Path!R47,IF($D$9="Con",Path!U47,IF($D$9="Exp",Path!X47,IF($D$9="Hyp",Path!AA47))))</f>
        <v>2.398786148205545E-5</v>
      </c>
      <c r="AE47" s="6">
        <f>IF(B47&gt;0,K47,"")</f>
        <v>5.9616597723365636</v>
      </c>
    </row>
    <row r="48" spans="2:42" x14ac:dyDescent="0.2">
      <c r="B48" s="2"/>
      <c r="C48" s="42"/>
      <c r="D48" s="43"/>
      <c r="E48" s="43"/>
      <c r="F48" s="43"/>
      <c r="G48" s="43"/>
      <c r="H48" s="43"/>
      <c r="I48" s="43"/>
      <c r="J48" s="39">
        <f>J47</f>
        <v>49.902892923164949</v>
      </c>
      <c r="K48" s="39">
        <f>K47</f>
        <v>5.9616597723365636</v>
      </c>
      <c r="L48" s="32"/>
      <c r="M48" s="39">
        <f>((H46-H43)^2+(I46-I43)^2)^0.5</f>
        <v>2.0205726781701614</v>
      </c>
      <c r="N48" s="39">
        <f>N45+M48</f>
        <v>61.541882056502217</v>
      </c>
      <c r="O48" s="33">
        <f>((C46-C47)^2+(D46-D47)^2)^0.5*Path!$F$3</f>
        <v>527.53345217547019</v>
      </c>
      <c r="P48" s="10">
        <f t="shared" si="1"/>
        <v>263.76672608773509</v>
      </c>
      <c r="Q48" s="10">
        <f t="shared" si="2"/>
        <v>-263.76672608773509</v>
      </c>
      <c r="R48" s="214">
        <f t="shared" si="8"/>
        <v>-18.797877764318173</v>
      </c>
      <c r="S48" s="224">
        <f t="shared" si="15"/>
        <v>273.16566496989418</v>
      </c>
      <c r="T48" s="225">
        <f t="shared" si="3"/>
        <v>-273.16566496989418</v>
      </c>
      <c r="U48" s="214">
        <f t="shared" si="9"/>
        <v>27.53445299160461</v>
      </c>
      <c r="V48" s="232">
        <f t="shared" si="13"/>
        <v>249.99949959193279</v>
      </c>
      <c r="W48" s="233">
        <f t="shared" si="17"/>
        <v>-249.99949959193279</v>
      </c>
      <c r="X48" s="214">
        <f t="shared" si="10"/>
        <v>57.985646686495045</v>
      </c>
      <c r="Y48" s="228">
        <f t="shared" si="18"/>
        <v>234.77390274448757</v>
      </c>
      <c r="Z48" s="229">
        <f t="shared" si="19"/>
        <v>-234.77390274448757</v>
      </c>
      <c r="AA48" s="214">
        <f t="shared" si="11"/>
        <v>78.768475770577652</v>
      </c>
      <c r="AB48" s="264">
        <f t="shared" si="20"/>
        <v>224.38248820244627</v>
      </c>
      <c r="AC48" s="265">
        <f t="shared" si="21"/>
        <v>-224.38248820244627</v>
      </c>
      <c r="AD48" s="214">
        <f>IF($D$9="Par",Path!R48,IF($D$9="Con",Path!U48,IF($D$9="Exp",Path!X48,IF($D$9="Hyp",Path!AA48))))</f>
        <v>57.985646686495045</v>
      </c>
      <c r="AE48" s="6">
        <f>IF(B47&gt;0,K48,"")</f>
        <v>5.9616597723365636</v>
      </c>
    </row>
    <row r="49" spans="2:42" x14ac:dyDescent="0.2">
      <c r="B49" s="2"/>
      <c r="C49" s="21">
        <f>C46</f>
        <v>47.712724459317201</v>
      </c>
      <c r="D49" s="22">
        <f>D46</f>
        <v>10.023319544673129</v>
      </c>
      <c r="E49" s="23"/>
      <c r="F49" s="22">
        <f>IF(TH!$H$18="x",C49,0)</f>
        <v>47.712724459317201</v>
      </c>
      <c r="G49" s="22">
        <f>IF(TH!$H$18="x",D49,0)</f>
        <v>10.023319544673129</v>
      </c>
      <c r="H49" s="22">
        <f>SUM(C49:C50)/2</f>
        <v>51.92346560133511</v>
      </c>
      <c r="I49" s="22">
        <f>SUM(D49:D50)/2</f>
        <v>8.0804000193294101</v>
      </c>
      <c r="J49" s="22">
        <f>IF(TH!$H$17="x",H49,0)</f>
        <v>51.92346560133511</v>
      </c>
      <c r="K49" s="26">
        <f>IF(TH!$H$17="x",I49,0)</f>
        <v>8.0804000193294101</v>
      </c>
      <c r="L49" s="34"/>
      <c r="M49" s="22">
        <f t="shared" ref="M49:O49" si="33">M48</f>
        <v>2.0205726781701614</v>
      </c>
      <c r="N49" s="22">
        <f t="shared" si="33"/>
        <v>61.541882056502217</v>
      </c>
      <c r="O49" s="35">
        <f t="shared" si="33"/>
        <v>527.53345217547019</v>
      </c>
      <c r="P49" s="10">
        <f t="shared" si="1"/>
        <v>263.76672608773509</v>
      </c>
      <c r="Q49" s="10">
        <f t="shared" si="2"/>
        <v>-263.76672608773509</v>
      </c>
      <c r="R49" s="214">
        <f t="shared" si="8"/>
        <v>-18.797877764318173</v>
      </c>
      <c r="S49" s="224">
        <f t="shared" si="15"/>
        <v>273.16566496989418</v>
      </c>
      <c r="T49" s="225">
        <f t="shared" si="3"/>
        <v>-273.16566496989418</v>
      </c>
      <c r="U49" s="214">
        <f t="shared" si="9"/>
        <v>27.53445299160461</v>
      </c>
      <c r="V49" s="232">
        <f t="shared" si="13"/>
        <v>249.99949959193279</v>
      </c>
      <c r="W49" s="233">
        <f t="shared" si="17"/>
        <v>-249.99949959193279</v>
      </c>
      <c r="X49" s="214">
        <f t="shared" si="10"/>
        <v>57.985646686495045</v>
      </c>
      <c r="Y49" s="228">
        <f t="shared" si="18"/>
        <v>234.77390274448757</v>
      </c>
      <c r="Z49" s="229">
        <f t="shared" si="19"/>
        <v>-234.77390274448757</v>
      </c>
      <c r="AA49" s="214">
        <f t="shared" si="11"/>
        <v>78.768475770577652</v>
      </c>
      <c r="AB49" s="264">
        <f t="shared" si="20"/>
        <v>224.38248820244627</v>
      </c>
      <c r="AC49" s="265">
        <f t="shared" si="21"/>
        <v>-224.38248820244627</v>
      </c>
      <c r="AD49" s="214">
        <f>IF($D$9="Par",Path!R49,IF($D$9="Con",Path!U49,IF($D$9="Exp",Path!X49,IF($D$9="Hyp",Path!AA49))))</f>
        <v>57.985646686495045</v>
      </c>
      <c r="AE49" s="6">
        <f>IF(B50&gt;0,K49,"")</f>
        <v>8.0804000193294101</v>
      </c>
    </row>
    <row r="50" spans="2:42" x14ac:dyDescent="0.2">
      <c r="B50" s="5">
        <f>B47+1</f>
        <v>9</v>
      </c>
      <c r="C50" s="25">
        <f>(C53+Panels!C54)/2</f>
        <v>56.134206743353026</v>
      </c>
      <c r="D50" s="25">
        <f>(D53+Panels!D54)/2</f>
        <v>6.1374804939856933</v>
      </c>
      <c r="E50" s="27"/>
      <c r="F50" s="26">
        <f>IF(TH!$H$18="x",C50,0)</f>
        <v>56.134206743353026</v>
      </c>
      <c r="G50" s="26">
        <f>IF(TH!$H$18="x",D50,0)</f>
        <v>6.1374804939856933</v>
      </c>
      <c r="H50" s="26"/>
      <c r="I50" s="26"/>
      <c r="J50" s="26">
        <f>J49</f>
        <v>51.92346560133511</v>
      </c>
      <c r="K50" s="26">
        <f>K49</f>
        <v>8.0804000193294101</v>
      </c>
      <c r="L50" s="32"/>
      <c r="M50" s="26">
        <f t="shared" ref="M50:O50" si="34">M49</f>
        <v>2.0205726781701614</v>
      </c>
      <c r="N50" s="26">
        <f t="shared" si="34"/>
        <v>61.541882056502217</v>
      </c>
      <c r="O50" s="33">
        <f t="shared" si="34"/>
        <v>527.53345217547019</v>
      </c>
      <c r="P50" s="10">
        <f t="shared" si="1"/>
        <v>263.76672608773509</v>
      </c>
      <c r="Q50" s="10">
        <f t="shared" si="2"/>
        <v>-263.76672608773509</v>
      </c>
      <c r="R50" s="214">
        <f t="shared" si="8"/>
        <v>-18.797877764318173</v>
      </c>
      <c r="S50" s="224">
        <f t="shared" si="15"/>
        <v>273.16566496989418</v>
      </c>
      <c r="T50" s="225">
        <f t="shared" si="3"/>
        <v>-273.16566496989418</v>
      </c>
      <c r="U50" s="214">
        <f t="shared" si="9"/>
        <v>27.53445299160461</v>
      </c>
      <c r="V50" s="232">
        <f t="shared" si="13"/>
        <v>249.99949959193279</v>
      </c>
      <c r="W50" s="233">
        <f t="shared" si="17"/>
        <v>-249.99949959193279</v>
      </c>
      <c r="X50" s="214">
        <f t="shared" si="10"/>
        <v>57.985646686495045</v>
      </c>
      <c r="Y50" s="228">
        <f t="shared" si="18"/>
        <v>234.77390274448757</v>
      </c>
      <c r="Z50" s="229">
        <f t="shared" si="19"/>
        <v>-234.77390274448757</v>
      </c>
      <c r="AA50" s="214">
        <f t="shared" si="11"/>
        <v>78.768475770577652</v>
      </c>
      <c r="AB50" s="264">
        <f t="shared" si="20"/>
        <v>224.38248820244627</v>
      </c>
      <c r="AC50" s="265">
        <f t="shared" si="21"/>
        <v>-224.38248820244627</v>
      </c>
      <c r="AD50" s="214">
        <f>IF($D$9="Par",Path!R50,IF($D$9="Con",Path!U50,IF($D$9="Exp",Path!X50,IF($D$9="Hyp",Path!AA50))))</f>
        <v>57.985646686495045</v>
      </c>
      <c r="AE50" s="6">
        <f>IF(B50&gt;0,K50,"")</f>
        <v>8.0804000193294101</v>
      </c>
    </row>
    <row r="51" spans="2:42" x14ac:dyDescent="0.2">
      <c r="B51" s="2"/>
      <c r="C51" s="42"/>
      <c r="D51" s="43"/>
      <c r="E51" s="43"/>
      <c r="F51" s="43"/>
      <c r="G51" s="43"/>
      <c r="H51" s="43"/>
      <c r="I51" s="43"/>
      <c r="J51" s="39">
        <f>J50</f>
        <v>51.92346560133511</v>
      </c>
      <c r="K51" s="39">
        <f>K50</f>
        <v>8.0804000193294101</v>
      </c>
      <c r="L51" s="32"/>
      <c r="M51" s="39">
        <f>((H49-H46)^2+(I49-I46)^2)^0.5</f>
        <v>2.9277592424916099</v>
      </c>
      <c r="N51" s="39">
        <f>N48+M51</f>
        <v>64.469641298993821</v>
      </c>
      <c r="O51" s="33">
        <f>((C49-C50)^2+(D49-D50)^2)^0.5*Path!$F$3</f>
        <v>530.14508417123</v>
      </c>
      <c r="P51" s="10">
        <f t="shared" si="1"/>
        <v>265.072542085615</v>
      </c>
      <c r="Q51" s="10">
        <f t="shared" si="2"/>
        <v>-265.072542085615</v>
      </c>
      <c r="R51" s="214">
        <f t="shared" si="8"/>
        <v>-30.190851681931804</v>
      </c>
      <c r="S51" s="224">
        <f t="shared" si="15"/>
        <v>280.1679679265809</v>
      </c>
      <c r="T51" s="225">
        <f t="shared" si="3"/>
        <v>-280.1679679265809</v>
      </c>
      <c r="U51" s="214">
        <f t="shared" si="9"/>
        <v>20.108122497068109</v>
      </c>
      <c r="V51" s="232">
        <f t="shared" si="13"/>
        <v>255.01848083708094</v>
      </c>
      <c r="W51" s="233">
        <f t="shared" si="17"/>
        <v>-255.01848083708094</v>
      </c>
      <c r="X51" s="214">
        <f t="shared" si="10"/>
        <v>53.532883368992771</v>
      </c>
      <c r="Y51" s="228">
        <f t="shared" si="18"/>
        <v>238.30610040111861</v>
      </c>
      <c r="Z51" s="229">
        <f t="shared" si="19"/>
        <v>-238.30610040111861</v>
      </c>
      <c r="AA51" s="214">
        <f t="shared" si="11"/>
        <v>76.285184987139473</v>
      </c>
      <c r="AB51" s="264">
        <f t="shared" si="20"/>
        <v>226.92994959204526</v>
      </c>
      <c r="AC51" s="265">
        <f t="shared" si="21"/>
        <v>-226.92994959204526</v>
      </c>
      <c r="AD51" s="214">
        <f>IF($D$9="Par",Path!R51,IF($D$9="Con",Path!U51,IF($D$9="Exp",Path!X51,IF($D$9="Hyp",Path!AA51))))</f>
        <v>53.532883368992771</v>
      </c>
      <c r="AE51" s="6">
        <f>IF(B50&gt;0,K51,"")</f>
        <v>8.0804000193294101</v>
      </c>
    </row>
    <row r="52" spans="2:42" x14ac:dyDescent="0.2">
      <c r="B52" s="2"/>
      <c r="C52" s="25">
        <f>C46</f>
        <v>47.712724459317201</v>
      </c>
      <c r="D52" s="26">
        <f>D46</f>
        <v>10.023319544673129</v>
      </c>
      <c r="E52" s="27"/>
      <c r="F52" s="22">
        <f>IF(TH!$H$18="x",C52,0)</f>
        <v>47.712724459317201</v>
      </c>
      <c r="G52" s="22">
        <f>IF(TH!$H$18="x",D52,0)</f>
        <v>10.023319544673129</v>
      </c>
      <c r="H52" s="22">
        <f>SUM(C52:C53)/2</f>
        <v>51.92346560133511</v>
      </c>
      <c r="I52" s="22">
        <f>SUM(D52:D53)/2</f>
        <v>10.199140266322257</v>
      </c>
      <c r="J52" s="22">
        <f>IF(TH!$H$17="x",H52,0)</f>
        <v>51.92346560133511</v>
      </c>
      <c r="K52" s="26">
        <f>IF(TH!$H$17="x",I52,0)</f>
        <v>10.199140266322257</v>
      </c>
      <c r="L52" s="34"/>
      <c r="M52" s="22">
        <f t="shared" ref="M52:O52" si="35">M51</f>
        <v>2.9277592424916099</v>
      </c>
      <c r="N52" s="22">
        <f t="shared" si="35"/>
        <v>64.469641298993821</v>
      </c>
      <c r="O52" s="35">
        <f t="shared" si="35"/>
        <v>530.14508417123</v>
      </c>
      <c r="P52" s="10">
        <f t="shared" ref="P52:P75" si="36">O52/2</f>
        <v>265.072542085615</v>
      </c>
      <c r="Q52" s="10">
        <f t="shared" ref="Q52:Q75" si="37">-P52</f>
        <v>-265.072542085615</v>
      </c>
      <c r="R52" s="214">
        <f t="shared" si="8"/>
        <v>-30.190851681931804</v>
      </c>
      <c r="S52" s="224">
        <f t="shared" si="15"/>
        <v>280.1679679265809</v>
      </c>
      <c r="T52" s="225">
        <f t="shared" ref="T52:T75" si="38">-S52</f>
        <v>-280.1679679265809</v>
      </c>
      <c r="U52" s="214">
        <f t="shared" si="9"/>
        <v>20.108122497068109</v>
      </c>
      <c r="V52" s="232">
        <f t="shared" si="13"/>
        <v>255.01848083708094</v>
      </c>
      <c r="W52" s="233">
        <f t="shared" si="17"/>
        <v>-255.01848083708094</v>
      </c>
      <c r="X52" s="214">
        <f t="shared" si="10"/>
        <v>53.532883368992771</v>
      </c>
      <c r="Y52" s="228">
        <f t="shared" si="18"/>
        <v>238.30610040111861</v>
      </c>
      <c r="Z52" s="229">
        <f t="shared" si="19"/>
        <v>-238.30610040111861</v>
      </c>
      <c r="AA52" s="214">
        <f t="shared" si="11"/>
        <v>76.285184987139473</v>
      </c>
      <c r="AB52" s="264">
        <f t="shared" si="20"/>
        <v>226.92994959204526</v>
      </c>
      <c r="AC52" s="265">
        <f t="shared" si="21"/>
        <v>-226.92994959204526</v>
      </c>
      <c r="AD52" s="214">
        <f>IF($D$9="Par",Path!R52,IF($D$9="Con",Path!U52,IF($D$9="Exp",Path!X52,IF($D$9="Hyp",Path!AA52))))</f>
        <v>53.532883368992771</v>
      </c>
      <c r="AE52" s="6">
        <f>IF(B53&gt;0,K52,"")</f>
        <v>10.199140266322257</v>
      </c>
      <c r="AH52" s="2" t="str">
        <f>TH!I12</f>
        <v>Panel H (3rd inside)</v>
      </c>
      <c r="AI52" s="6">
        <f>Panels!C54</f>
        <v>56.134206743353026</v>
      </c>
      <c r="AJ52" s="6">
        <f>Panels!D54</f>
        <v>1.9</v>
      </c>
      <c r="AK52" s="6">
        <f>Panels!C55</f>
        <v>56.134206743353026</v>
      </c>
      <c r="AL52" s="6">
        <f>Panels!D55</f>
        <v>52.215736235370656</v>
      </c>
      <c r="AM52" s="9" t="str">
        <f>IF(AK52-AI52&lt;&gt;0,(AL52-AJ52)/(AK52-AI52),"vertical")</f>
        <v>vertical</v>
      </c>
      <c r="AN52" s="9">
        <f>IF(AM52&lt;&gt;"vertical",(AL52*AI52-AJ52*AK52)/(AI52-AK52),AJ52)</f>
        <v>1.9</v>
      </c>
    </row>
    <row r="53" spans="2:42" x14ac:dyDescent="0.2">
      <c r="B53" s="5">
        <f>B50+1</f>
        <v>10</v>
      </c>
      <c r="C53" s="25">
        <f>AO53</f>
        <v>56.134206743353026</v>
      </c>
      <c r="D53" s="26">
        <f>AP53</f>
        <v>10.374960987971386</v>
      </c>
      <c r="E53" s="27"/>
      <c r="F53" s="26">
        <f>IF(TH!$H$18="x",C53,0)</f>
        <v>56.134206743353026</v>
      </c>
      <c r="G53" s="26">
        <f>IF(TH!$H$18="x",D53,0)</f>
        <v>10.374960987971386</v>
      </c>
      <c r="H53" s="26"/>
      <c r="I53" s="26"/>
      <c r="J53" s="26">
        <f>J52</f>
        <v>51.92346560133511</v>
      </c>
      <c r="K53" s="26">
        <f>K52</f>
        <v>10.199140266322257</v>
      </c>
      <c r="L53" s="32"/>
      <c r="M53" s="26">
        <f t="shared" ref="M53:O53" si="39">M52</f>
        <v>2.9277592424916099</v>
      </c>
      <c r="N53" s="26">
        <f t="shared" si="39"/>
        <v>64.469641298993821</v>
      </c>
      <c r="O53" s="33">
        <f t="shared" si="39"/>
        <v>530.14508417123</v>
      </c>
      <c r="P53" s="10">
        <f t="shared" si="36"/>
        <v>265.072542085615</v>
      </c>
      <c r="Q53" s="10">
        <f t="shared" si="37"/>
        <v>-265.072542085615</v>
      </c>
      <c r="R53" s="214">
        <f t="shared" si="8"/>
        <v>-30.190851681931804</v>
      </c>
      <c r="S53" s="224">
        <f t="shared" si="15"/>
        <v>280.1679679265809</v>
      </c>
      <c r="T53" s="225">
        <f t="shared" si="38"/>
        <v>-280.1679679265809</v>
      </c>
      <c r="U53" s="214">
        <f t="shared" si="9"/>
        <v>20.108122497068109</v>
      </c>
      <c r="V53" s="232">
        <f t="shared" si="13"/>
        <v>255.01848083708094</v>
      </c>
      <c r="W53" s="233">
        <f t="shared" si="17"/>
        <v>-255.01848083708094</v>
      </c>
      <c r="X53" s="214">
        <f t="shared" si="10"/>
        <v>53.532883368992771</v>
      </c>
      <c r="Y53" s="228">
        <f t="shared" si="18"/>
        <v>238.30610040111861</v>
      </c>
      <c r="Z53" s="229">
        <f t="shared" si="19"/>
        <v>-238.30610040111861</v>
      </c>
      <c r="AA53" s="214">
        <f t="shared" si="11"/>
        <v>76.285184987139473</v>
      </c>
      <c r="AB53" s="264">
        <f t="shared" si="20"/>
        <v>226.92994959204526</v>
      </c>
      <c r="AC53" s="265">
        <f t="shared" si="21"/>
        <v>-226.92994959204526</v>
      </c>
      <c r="AD53" s="214">
        <f>IF($D$9="Par",Path!R53,IF($D$9="Con",Path!U53,IF($D$9="Exp",Path!X53,IF($D$9="Hyp",Path!AA53))))</f>
        <v>53.532883368992771</v>
      </c>
      <c r="AE53" s="6">
        <f>IF(B53&gt;0,K53,"")</f>
        <v>10.199140266322257</v>
      </c>
      <c r="AH53" s="2" t="s">
        <v>69</v>
      </c>
      <c r="AI53" s="6">
        <f>C52</f>
        <v>47.712724459317201</v>
      </c>
      <c r="AJ53" s="6">
        <f>D52</f>
        <v>10.023319544673129</v>
      </c>
      <c r="AK53" s="6">
        <f>AI53+10*$E$21</f>
        <v>57.70401832043131</v>
      </c>
      <c r="AL53" s="6">
        <f>AJ53+10*$E$22</f>
        <v>10.440508927164529</v>
      </c>
      <c r="AM53" s="9">
        <f>(AL53-AJ53)/(AK53-AI53)</f>
        <v>4.1755290985394045E-2</v>
      </c>
      <c r="AN53" s="9">
        <f>(AL53*AI53-AJ53*AK53)/(AI53-AK53)</f>
        <v>8.0310608511684123</v>
      </c>
      <c r="AO53" s="6">
        <f>IF(AM52&lt;&gt;"vertical",(AN52-AN53)/(AM53-AM52),AI52)</f>
        <v>56.134206743353026</v>
      </c>
      <c r="AP53" s="6">
        <f>AO53*AM53+AN53</f>
        <v>10.374960987971386</v>
      </c>
    </row>
    <row r="54" spans="2:42" x14ac:dyDescent="0.2">
      <c r="B54" s="2"/>
      <c r="C54" s="41"/>
      <c r="D54" s="27"/>
      <c r="E54" s="27"/>
      <c r="F54" s="43"/>
      <c r="G54" s="43"/>
      <c r="H54" s="43"/>
      <c r="I54" s="43"/>
      <c r="J54" s="39">
        <f>J53</f>
        <v>51.92346560133511</v>
      </c>
      <c r="K54" s="39">
        <f>K53</f>
        <v>10.199140266322257</v>
      </c>
      <c r="L54" s="32"/>
      <c r="M54" s="39">
        <f>((H52-H49)^2+(I52-I49)^2)^0.5</f>
        <v>2.1187402469928465</v>
      </c>
      <c r="N54" s="39">
        <f>N51+M54</f>
        <v>66.588381545986664</v>
      </c>
      <c r="O54" s="33">
        <f>((C52-C53)^2+(D52-D53)^2)^0.5*Path!$F$3</f>
        <v>481.79138162373204</v>
      </c>
      <c r="P54" s="10">
        <f t="shared" si="36"/>
        <v>240.89569081186602</v>
      </c>
      <c r="Q54" s="10">
        <f t="shared" si="37"/>
        <v>-240.89569081186602</v>
      </c>
      <c r="R54" s="214">
        <f t="shared" si="8"/>
        <v>-88.679309082662371</v>
      </c>
      <c r="S54" s="224">
        <f t="shared" si="15"/>
        <v>285.2353453531972</v>
      </c>
      <c r="T54" s="225">
        <f t="shared" si="38"/>
        <v>-285.2353453531972</v>
      </c>
      <c r="U54" s="214">
        <f t="shared" si="9"/>
        <v>-35.572002571403118</v>
      </c>
      <c r="V54" s="232">
        <f t="shared" si="13"/>
        <v>258.68169209756758</v>
      </c>
      <c r="W54" s="233">
        <f t="shared" si="17"/>
        <v>-258.68169209756758</v>
      </c>
      <c r="X54" s="214">
        <f t="shared" si="10"/>
        <v>6.7187811521307594E-4</v>
      </c>
      <c r="Y54" s="228">
        <f t="shared" si="18"/>
        <v>240.89535487280841</v>
      </c>
      <c r="Z54" s="229">
        <f t="shared" si="19"/>
        <v>-240.89535487280841</v>
      </c>
      <c r="AA54" s="214">
        <f t="shared" si="11"/>
        <v>24.170487942253487</v>
      </c>
      <c r="AB54" s="264">
        <f t="shared" si="20"/>
        <v>228.81044684073927</v>
      </c>
      <c r="AC54" s="265">
        <f t="shared" si="21"/>
        <v>-228.81044684073927</v>
      </c>
      <c r="AD54" s="214">
        <f>IF($D$9="Par",Path!R54,IF($D$9="Con",Path!U54,IF($D$9="Exp",Path!X54,IF($D$9="Hyp",Path!AA54))))</f>
        <v>6.7187811521307594E-4</v>
      </c>
      <c r="AE54" s="6">
        <f>IF(B53&gt;0,K54,"")</f>
        <v>10.199140266322257</v>
      </c>
    </row>
    <row r="55" spans="2:42" x14ac:dyDescent="0.2">
      <c r="B55" s="2"/>
      <c r="C55" s="21">
        <f>Panels!C55</f>
        <v>56.134206743353026</v>
      </c>
      <c r="D55" s="21">
        <f>Panels!D55</f>
        <v>52.215736235370656</v>
      </c>
      <c r="E55" s="23"/>
      <c r="F55" s="22">
        <f>IF(TH!$H$18="x",C55,0)</f>
        <v>56.134206743353026</v>
      </c>
      <c r="G55" s="22">
        <f>IF(TH!$H$18="x",D55,0)</f>
        <v>52.215736235370656</v>
      </c>
      <c r="H55" s="22">
        <f>SUM(C55:C56)/2</f>
        <v>50.179432584933011</v>
      </c>
      <c r="I55" s="22">
        <f>SUM(D55:D56)/2</f>
        <v>51.967092907633528</v>
      </c>
      <c r="J55" s="22">
        <f>IF(TH!$H$17="x",H55,0)</f>
        <v>50.179432584933011</v>
      </c>
      <c r="K55" s="26">
        <f>IF(TH!$H$17="x",I55,0)</f>
        <v>51.967092907633528</v>
      </c>
      <c r="L55" s="34"/>
      <c r="M55" s="22">
        <f t="shared" ref="M55:O55" si="40">M54</f>
        <v>2.1187402469928465</v>
      </c>
      <c r="N55" s="22">
        <f t="shared" si="40"/>
        <v>66.588381545986664</v>
      </c>
      <c r="O55" s="35">
        <f t="shared" si="40"/>
        <v>481.79138162373204</v>
      </c>
      <c r="P55" s="10">
        <f t="shared" si="36"/>
        <v>240.89569081186602</v>
      </c>
      <c r="Q55" s="10">
        <f t="shared" si="37"/>
        <v>-240.89569081186602</v>
      </c>
      <c r="R55" s="214">
        <f t="shared" si="8"/>
        <v>-88.679309082662371</v>
      </c>
      <c r="S55" s="224">
        <f t="shared" si="15"/>
        <v>285.2353453531972</v>
      </c>
      <c r="T55" s="225">
        <f t="shared" si="38"/>
        <v>-285.2353453531972</v>
      </c>
      <c r="U55" s="214">
        <f t="shared" si="9"/>
        <v>-35.572002571403118</v>
      </c>
      <c r="V55" s="232">
        <f t="shared" si="13"/>
        <v>258.68169209756758</v>
      </c>
      <c r="W55" s="233">
        <f t="shared" si="17"/>
        <v>-258.68169209756758</v>
      </c>
      <c r="X55" s="214">
        <f t="shared" si="10"/>
        <v>6.7187811521307594E-4</v>
      </c>
      <c r="Y55" s="228">
        <f t="shared" si="18"/>
        <v>240.89535487280841</v>
      </c>
      <c r="Z55" s="229">
        <f t="shared" si="19"/>
        <v>-240.89535487280841</v>
      </c>
      <c r="AA55" s="214">
        <f t="shared" si="11"/>
        <v>24.170487942253487</v>
      </c>
      <c r="AB55" s="264">
        <f t="shared" si="20"/>
        <v>228.81044684073927</v>
      </c>
      <c r="AC55" s="265">
        <f t="shared" si="21"/>
        <v>-228.81044684073927</v>
      </c>
      <c r="AD55" s="214">
        <f>IF($D$9="Par",Path!R55,IF($D$9="Con",Path!U55,IF($D$9="Exp",Path!X55,IF($D$9="Hyp",Path!AA55))))</f>
        <v>6.7187811521307594E-4</v>
      </c>
      <c r="AE55" s="6">
        <f>IF(B56&gt;0,K55,"")</f>
        <v>51.967092907633528</v>
      </c>
      <c r="AH55" s="2" t="str">
        <f>Panels!A54</f>
        <v>Panel I (4th inside)</v>
      </c>
      <c r="AI55" s="6">
        <f>C55</f>
        <v>56.134206743353026</v>
      </c>
      <c r="AJ55" s="6">
        <f>D55</f>
        <v>52.215736235370656</v>
      </c>
      <c r="AK55" s="6">
        <f>AI55+10*$E$21</f>
        <v>66.125500604467135</v>
      </c>
      <c r="AL55" s="6">
        <f>AJ55+10*$E$22</f>
        <v>52.632925617862057</v>
      </c>
      <c r="AM55" s="9">
        <f>IF(AK55-AI55&lt;&gt;0,(AL55-AJ55)/(AK55-AI55),"vertical")</f>
        <v>4.1755290985394045E-2</v>
      </c>
      <c r="AN55" s="9">
        <f>IF(AM55&lt;&gt;"vertical",(AL55*AI55-AJ55*AK55)/(AI55-AK55),AJ55)</f>
        <v>49.871836098567684</v>
      </c>
    </row>
    <row r="56" spans="2:42" x14ac:dyDescent="0.2">
      <c r="B56" s="5">
        <f>B53+1</f>
        <v>11</v>
      </c>
      <c r="C56" s="25">
        <f>AO56</f>
        <v>44.224658426512995</v>
      </c>
      <c r="D56" s="25">
        <f>AP56</f>
        <v>51.718449579896401</v>
      </c>
      <c r="E56" s="27"/>
      <c r="F56" s="26">
        <f>IF(TH!$H$18="x",C56,0)</f>
        <v>44.224658426512995</v>
      </c>
      <c r="G56" s="26">
        <f>IF(TH!$H$18="x",D56,0)</f>
        <v>51.718449579896401</v>
      </c>
      <c r="H56" s="26"/>
      <c r="I56" s="26"/>
      <c r="J56" s="26">
        <f>J55</f>
        <v>50.179432584933011</v>
      </c>
      <c r="K56" s="26">
        <f>K55</f>
        <v>51.967092907633528</v>
      </c>
      <c r="L56" s="32"/>
      <c r="M56" s="26">
        <f t="shared" ref="M56:O56" si="41">M55</f>
        <v>2.1187402469928465</v>
      </c>
      <c r="N56" s="26">
        <f t="shared" si="41"/>
        <v>66.588381545986664</v>
      </c>
      <c r="O56" s="33">
        <f t="shared" si="41"/>
        <v>481.79138162373204</v>
      </c>
      <c r="P56" s="10">
        <f t="shared" si="36"/>
        <v>240.89569081186602</v>
      </c>
      <c r="Q56" s="10">
        <f t="shared" si="37"/>
        <v>-240.89569081186602</v>
      </c>
      <c r="R56" s="214">
        <f t="shared" si="8"/>
        <v>-88.679309082662371</v>
      </c>
      <c r="S56" s="224">
        <f t="shared" si="15"/>
        <v>285.2353453531972</v>
      </c>
      <c r="T56" s="225">
        <f t="shared" si="38"/>
        <v>-285.2353453531972</v>
      </c>
      <c r="U56" s="214">
        <f t="shared" si="9"/>
        <v>-35.572002571403118</v>
      </c>
      <c r="V56" s="232">
        <f t="shared" si="13"/>
        <v>258.68169209756758</v>
      </c>
      <c r="W56" s="233">
        <f t="shared" si="17"/>
        <v>-258.68169209756758</v>
      </c>
      <c r="X56" s="214">
        <f t="shared" si="10"/>
        <v>6.7187811521307594E-4</v>
      </c>
      <c r="Y56" s="228">
        <f t="shared" si="18"/>
        <v>240.89535487280841</v>
      </c>
      <c r="Z56" s="229">
        <f t="shared" si="19"/>
        <v>-240.89535487280841</v>
      </c>
      <c r="AA56" s="214">
        <f t="shared" si="11"/>
        <v>24.170487942253487</v>
      </c>
      <c r="AB56" s="264">
        <f t="shared" si="20"/>
        <v>228.81044684073927</v>
      </c>
      <c r="AC56" s="265">
        <f t="shared" si="21"/>
        <v>-228.81044684073927</v>
      </c>
      <c r="AD56" s="214">
        <f>IF($D$9="Par",Path!R56,IF($D$9="Con",Path!U56,IF($D$9="Exp",Path!X56,IF($D$9="Hyp",Path!AA56))))</f>
        <v>6.7187811521307594E-4</v>
      </c>
      <c r="AE56" s="6">
        <f>IF(B56&gt;0,K56,"")</f>
        <v>51.967092907633528</v>
      </c>
      <c r="AH56" s="2" t="str">
        <f>Panels!A48</f>
        <v>Panel H (3rd inside)</v>
      </c>
      <c r="AI56" s="6">
        <f>Panels!C48</f>
        <v>43.36028001473376</v>
      </c>
      <c r="AJ56" s="6">
        <f>Panels!D48</f>
        <v>62.050928936601728</v>
      </c>
      <c r="AK56" s="6">
        <f>Panels!C49</f>
        <v>47.712724459317201</v>
      </c>
      <c r="AL56" s="6">
        <f>Panels!D49</f>
        <v>10.023319544673129</v>
      </c>
      <c r="AM56" s="9">
        <f>(AL56-AJ56)/(AK56-AI56)</f>
        <v>-11.953652724201056</v>
      </c>
      <c r="AN56" s="9">
        <f>(AL56*AI56-AJ56*AK56)/(AI56-AK56)</f>
        <v>580.36465825684468</v>
      </c>
      <c r="AO56" s="6">
        <f>IF(AM55&lt;&gt;"vertical",(AN55-AN56)/(AM56-AM55),AI55)</f>
        <v>44.224658426512995</v>
      </c>
      <c r="AP56" s="6">
        <f>AO56*AM56+AN56</f>
        <v>51.718449579896401</v>
      </c>
    </row>
    <row r="57" spans="2:42" x14ac:dyDescent="0.2">
      <c r="B57" s="2"/>
      <c r="C57" s="42"/>
      <c r="D57" s="43"/>
      <c r="E57" s="43"/>
      <c r="F57" s="43"/>
      <c r="G57" s="43"/>
      <c r="H57" s="43"/>
      <c r="I57" s="43"/>
      <c r="J57" s="39">
        <f>J56</f>
        <v>50.179432584933011</v>
      </c>
      <c r="K57" s="39">
        <f>K56</f>
        <v>51.967092907633528</v>
      </c>
      <c r="L57" s="32"/>
      <c r="M57" s="39">
        <f>((H55-H52)^2+(I55-I52)^2)^0.5</f>
        <v>41.804348087359543</v>
      </c>
      <c r="N57" s="39">
        <f>N54+M57</f>
        <v>108.39272963334621</v>
      </c>
      <c r="O57" s="33">
        <f>((C55-C56)^2+(D55-D56)^2)^0.5*Path!$F$3</f>
        <v>681.34296844179414</v>
      </c>
      <c r="P57" s="10">
        <f t="shared" si="36"/>
        <v>340.67148422089707</v>
      </c>
      <c r="Q57" s="10">
        <f t="shared" si="37"/>
        <v>-340.67148422089707</v>
      </c>
      <c r="R57" s="214">
        <f t="shared" si="8"/>
        <v>-89.094103356346181</v>
      </c>
      <c r="S57" s="224">
        <f t="shared" si="15"/>
        <v>385.21853589907016</v>
      </c>
      <c r="T57" s="225">
        <f t="shared" si="38"/>
        <v>-385.21853589907016</v>
      </c>
      <c r="U57" s="214">
        <f t="shared" si="9"/>
        <v>8.7386238235134215</v>
      </c>
      <c r="V57" s="232">
        <f t="shared" si="13"/>
        <v>336.30217230914036</v>
      </c>
      <c r="W57" s="233">
        <f t="shared" si="17"/>
        <v>-336.30217230914036</v>
      </c>
      <c r="X57" s="214">
        <f t="shared" si="10"/>
        <v>85.049428774070293</v>
      </c>
      <c r="Y57" s="228">
        <f t="shared" si="18"/>
        <v>298.14676983386192</v>
      </c>
      <c r="Z57" s="229">
        <f t="shared" si="19"/>
        <v>-298.14676983386192</v>
      </c>
      <c r="AA57" s="214">
        <f t="shared" si="11"/>
        <v>135.55295747417745</v>
      </c>
      <c r="AB57" s="264">
        <f t="shared" si="20"/>
        <v>272.89500548380835</v>
      </c>
      <c r="AC57" s="265">
        <f t="shared" si="21"/>
        <v>-272.89500548380835</v>
      </c>
      <c r="AD57" s="214">
        <f>IF($D$9="Par",Path!R57,IF($D$9="Con",Path!U57,IF($D$9="Exp",Path!X57,IF($D$9="Hyp",Path!AA57))))</f>
        <v>85.049428774070293</v>
      </c>
      <c r="AE57" s="6">
        <f>IF(B56&gt;0,K57,"")</f>
        <v>51.967092907633528</v>
      </c>
    </row>
    <row r="58" spans="2:42" x14ac:dyDescent="0.2">
      <c r="B58" s="2"/>
      <c r="C58" s="21">
        <f>C55</f>
        <v>56.134206743353026</v>
      </c>
      <c r="D58" s="22">
        <f>D55</f>
        <v>52.215736235370656</v>
      </c>
      <c r="E58" s="23"/>
      <c r="F58" s="22">
        <f>IF(TH!$H$18="x",C58,0)</f>
        <v>56.134206743353026</v>
      </c>
      <c r="G58" s="22">
        <f>IF(TH!$H$18="x",D58,0)</f>
        <v>52.215736235370656</v>
      </c>
      <c r="H58" s="22">
        <f>SUM(C58:C59)/2</f>
        <v>49.963337981988204</v>
      </c>
      <c r="I58" s="22">
        <f>SUM(D58:D59)/2</f>
        <v>54.550212746809862</v>
      </c>
      <c r="J58" s="22">
        <f>IF(TH!$H$17="x",H58,0)</f>
        <v>49.963337981988204</v>
      </c>
      <c r="K58" s="26">
        <f>IF(TH!$H$17="x",I58,0)</f>
        <v>54.550212746809862</v>
      </c>
      <c r="L58" s="34"/>
      <c r="M58" s="22">
        <f t="shared" ref="M58:O58" si="42">M57</f>
        <v>41.804348087359543</v>
      </c>
      <c r="N58" s="22">
        <f t="shared" si="42"/>
        <v>108.39272963334621</v>
      </c>
      <c r="O58" s="35">
        <f t="shared" si="42"/>
        <v>681.34296844179414</v>
      </c>
      <c r="P58" s="10">
        <f t="shared" si="36"/>
        <v>340.67148422089707</v>
      </c>
      <c r="Q58" s="10">
        <f t="shared" si="37"/>
        <v>-340.67148422089707</v>
      </c>
      <c r="R58" s="214">
        <f t="shared" si="8"/>
        <v>-89.094103356346181</v>
      </c>
      <c r="S58" s="224">
        <f t="shared" si="15"/>
        <v>385.21853589907016</v>
      </c>
      <c r="T58" s="225">
        <f t="shared" si="38"/>
        <v>-385.21853589907016</v>
      </c>
      <c r="U58" s="214">
        <f t="shared" si="9"/>
        <v>8.7386238235134215</v>
      </c>
      <c r="V58" s="232">
        <f t="shared" si="13"/>
        <v>336.30217230914036</v>
      </c>
      <c r="W58" s="233">
        <f t="shared" si="17"/>
        <v>-336.30217230914036</v>
      </c>
      <c r="X58" s="214">
        <f t="shared" si="10"/>
        <v>85.049428774070293</v>
      </c>
      <c r="Y58" s="228">
        <f t="shared" si="18"/>
        <v>298.14676983386192</v>
      </c>
      <c r="Z58" s="229">
        <f t="shared" si="19"/>
        <v>-298.14676983386192</v>
      </c>
      <c r="AA58" s="214">
        <f t="shared" si="11"/>
        <v>135.55295747417745</v>
      </c>
      <c r="AB58" s="264">
        <f t="shared" si="20"/>
        <v>272.89500548380835</v>
      </c>
      <c r="AC58" s="265">
        <f t="shared" si="21"/>
        <v>-272.89500548380835</v>
      </c>
      <c r="AD58" s="214">
        <f>IF($D$9="Par",Path!R58,IF($D$9="Con",Path!U58,IF($D$9="Exp",Path!X58,IF($D$9="Hyp",Path!AA58))))</f>
        <v>85.049428774070293</v>
      </c>
      <c r="AE58" s="6">
        <f>IF(B59&gt;0,K58,"")</f>
        <v>54.550212746809862</v>
      </c>
    </row>
    <row r="59" spans="2:42" x14ac:dyDescent="0.2">
      <c r="B59" s="5">
        <f>B56+1</f>
        <v>12</v>
      </c>
      <c r="C59" s="25">
        <f>(C56+Panels!C48)/2</f>
        <v>43.792469220623374</v>
      </c>
      <c r="D59" s="25">
        <f>(D56+Panels!D48)/2</f>
        <v>56.884689258249068</v>
      </c>
      <c r="E59" s="27"/>
      <c r="F59" s="26">
        <f>IF(TH!$H$18="x",C59,0)</f>
        <v>43.792469220623374</v>
      </c>
      <c r="G59" s="26">
        <f>IF(TH!$H$18="x",D59,0)</f>
        <v>56.884689258249068</v>
      </c>
      <c r="H59" s="26"/>
      <c r="I59" s="26"/>
      <c r="J59" s="26">
        <f>J58</f>
        <v>49.963337981988204</v>
      </c>
      <c r="K59" s="26">
        <f>K58</f>
        <v>54.550212746809862</v>
      </c>
      <c r="L59" s="32"/>
      <c r="M59" s="26">
        <f t="shared" ref="M59:O59" si="43">M58</f>
        <v>41.804348087359543</v>
      </c>
      <c r="N59" s="26">
        <f t="shared" si="43"/>
        <v>108.39272963334621</v>
      </c>
      <c r="O59" s="33">
        <f t="shared" si="43"/>
        <v>681.34296844179414</v>
      </c>
      <c r="P59" s="10">
        <f t="shared" si="36"/>
        <v>340.67148422089707</v>
      </c>
      <c r="Q59" s="10">
        <f t="shared" si="37"/>
        <v>-340.67148422089707</v>
      </c>
      <c r="R59" s="214">
        <f t="shared" si="8"/>
        <v>-89.094103356346181</v>
      </c>
      <c r="S59" s="224">
        <f t="shared" si="15"/>
        <v>385.21853589907016</v>
      </c>
      <c r="T59" s="225">
        <f t="shared" si="38"/>
        <v>-385.21853589907016</v>
      </c>
      <c r="U59" s="214">
        <f t="shared" si="9"/>
        <v>8.7386238235134215</v>
      </c>
      <c r="V59" s="232">
        <f t="shared" si="13"/>
        <v>336.30217230914036</v>
      </c>
      <c r="W59" s="233">
        <f t="shared" si="17"/>
        <v>-336.30217230914036</v>
      </c>
      <c r="X59" s="214">
        <f t="shared" si="10"/>
        <v>85.049428774070293</v>
      </c>
      <c r="Y59" s="228">
        <f t="shared" si="18"/>
        <v>298.14676983386192</v>
      </c>
      <c r="Z59" s="229">
        <f t="shared" si="19"/>
        <v>-298.14676983386192</v>
      </c>
      <c r="AA59" s="214">
        <f t="shared" si="11"/>
        <v>135.55295747417745</v>
      </c>
      <c r="AB59" s="264">
        <f t="shared" si="20"/>
        <v>272.89500548380835</v>
      </c>
      <c r="AC59" s="265">
        <f t="shared" si="21"/>
        <v>-272.89500548380835</v>
      </c>
      <c r="AD59" s="214">
        <f>IF($D$9="Par",Path!R59,IF($D$9="Con",Path!U59,IF($D$9="Exp",Path!X59,IF($D$9="Hyp",Path!AA59))))</f>
        <v>85.049428774070293</v>
      </c>
      <c r="AE59" s="6">
        <f>IF(B59&gt;0,K59,"")</f>
        <v>54.550212746809862</v>
      </c>
    </row>
    <row r="60" spans="2:42" x14ac:dyDescent="0.2">
      <c r="B60" s="2"/>
      <c r="C60" s="42"/>
      <c r="D60" s="43"/>
      <c r="E60" s="43"/>
      <c r="F60" s="43"/>
      <c r="G60" s="43"/>
      <c r="H60" s="43"/>
      <c r="I60" s="43"/>
      <c r="J60" s="39">
        <f>J59</f>
        <v>49.963337981988204</v>
      </c>
      <c r="K60" s="39">
        <f>K59</f>
        <v>54.550212746809862</v>
      </c>
      <c r="L60" s="32"/>
      <c r="M60" s="39">
        <f>((H58-H55)^2+(I58-I55)^2)^0.5</f>
        <v>2.5921429322026674</v>
      </c>
      <c r="N60" s="39">
        <f>N57+M60</f>
        <v>110.98487256554887</v>
      </c>
      <c r="O60" s="33">
        <f>((C58-C59)^2+(D58-D59)^2)^0.5*Path!$F$3</f>
        <v>754.24695494535467</v>
      </c>
      <c r="P60" s="10">
        <f t="shared" si="36"/>
        <v>377.12347747267734</v>
      </c>
      <c r="Q60" s="10">
        <f t="shared" si="37"/>
        <v>-377.12347747267734</v>
      </c>
      <c r="R60" s="214">
        <f t="shared" si="8"/>
        <v>-28.589340023110594</v>
      </c>
      <c r="S60" s="224">
        <f t="shared" si="15"/>
        <v>391.41814748423263</v>
      </c>
      <c r="T60" s="225">
        <f t="shared" si="38"/>
        <v>-391.41814748423263</v>
      </c>
      <c r="U60" s="214">
        <f t="shared" si="9"/>
        <v>71.346968642819547</v>
      </c>
      <c r="V60" s="232">
        <f t="shared" si="13"/>
        <v>341.44999315126756</v>
      </c>
      <c r="W60" s="233">
        <f t="shared" si="17"/>
        <v>-341.44999315126756</v>
      </c>
      <c r="X60" s="214">
        <f t="shared" si="10"/>
        <v>150.01733084346404</v>
      </c>
      <c r="Y60" s="228">
        <f t="shared" si="18"/>
        <v>302.11481205094532</v>
      </c>
      <c r="Z60" s="229">
        <f t="shared" si="19"/>
        <v>-302.11481205094532</v>
      </c>
      <c r="AA60" s="214">
        <f t="shared" si="11"/>
        <v>202.02829632448515</v>
      </c>
      <c r="AB60" s="264">
        <f t="shared" si="20"/>
        <v>276.10932931043476</v>
      </c>
      <c r="AC60" s="265">
        <f t="shared" si="21"/>
        <v>-276.10932931043476</v>
      </c>
      <c r="AD60" s="214">
        <f>IF($D$9="Par",Path!R60,IF($D$9="Con",Path!U60,IF($D$9="Exp",Path!X60,IF($D$9="Hyp",Path!AA60))))</f>
        <v>150.01733084346404</v>
      </c>
      <c r="AE60" s="6">
        <f>IF(B59&gt;0,K60,"")</f>
        <v>54.550212746809862</v>
      </c>
    </row>
    <row r="61" spans="2:42" x14ac:dyDescent="0.2">
      <c r="B61" s="2"/>
      <c r="C61" s="21">
        <f>C58</f>
        <v>56.134206743353026</v>
      </c>
      <c r="D61" s="22">
        <f>D58</f>
        <v>52.215736235370656</v>
      </c>
      <c r="E61" s="23"/>
      <c r="F61" s="22">
        <f>IF(TH!$H$18="x",C61,0)</f>
        <v>56.134206743353026</v>
      </c>
      <c r="G61" s="22">
        <f>IF(TH!$H$18="x",D61,0)</f>
        <v>52.215736235370656</v>
      </c>
      <c r="H61" s="22">
        <f>SUM(C61:C62)/2</f>
        <v>53.054947030414297</v>
      </c>
      <c r="I61" s="22">
        <f>SUM(D61:D62)/2</f>
        <v>57.410043289206996</v>
      </c>
      <c r="J61" s="22">
        <f>IF(TH!$H$17="x",H61,0)</f>
        <v>53.054947030414297</v>
      </c>
      <c r="K61" s="26">
        <f>IF(TH!$H$17="x",I61,0)</f>
        <v>57.410043289206996</v>
      </c>
      <c r="L61" s="34"/>
      <c r="M61" s="22">
        <f t="shared" ref="M61:O61" si="44">M60</f>
        <v>2.5921429322026674</v>
      </c>
      <c r="N61" s="22">
        <f t="shared" si="44"/>
        <v>110.98487256554887</v>
      </c>
      <c r="O61" s="35">
        <f t="shared" si="44"/>
        <v>754.24695494535467</v>
      </c>
      <c r="P61" s="10">
        <f t="shared" si="36"/>
        <v>377.12347747267734</v>
      </c>
      <c r="Q61" s="10">
        <f t="shared" si="37"/>
        <v>-377.12347747267734</v>
      </c>
      <c r="R61" s="214">
        <f t="shared" si="8"/>
        <v>-28.589340023110594</v>
      </c>
      <c r="S61" s="224">
        <f t="shared" si="15"/>
        <v>391.41814748423263</v>
      </c>
      <c r="T61" s="225">
        <f t="shared" si="38"/>
        <v>-391.41814748423263</v>
      </c>
      <c r="U61" s="214">
        <f t="shared" si="9"/>
        <v>71.346968642819547</v>
      </c>
      <c r="V61" s="232">
        <f t="shared" si="13"/>
        <v>341.44999315126756</v>
      </c>
      <c r="W61" s="233">
        <f t="shared" si="17"/>
        <v>-341.44999315126756</v>
      </c>
      <c r="X61" s="214">
        <f t="shared" si="10"/>
        <v>150.01733084346404</v>
      </c>
      <c r="Y61" s="228">
        <f t="shared" si="18"/>
        <v>302.11481205094532</v>
      </c>
      <c r="Z61" s="229">
        <f t="shared" si="19"/>
        <v>-302.11481205094532</v>
      </c>
      <c r="AA61" s="214">
        <f t="shared" si="11"/>
        <v>202.02829632448515</v>
      </c>
      <c r="AB61" s="264">
        <f t="shared" si="20"/>
        <v>276.10932931043476</v>
      </c>
      <c r="AC61" s="265">
        <f t="shared" si="21"/>
        <v>-276.10932931043476</v>
      </c>
      <c r="AD61" s="214">
        <f>IF($D$9="Par",Path!R61,IF($D$9="Con",Path!U61,IF($D$9="Exp",Path!X61,IF($D$9="Hyp",Path!AA61))))</f>
        <v>150.01733084346404</v>
      </c>
      <c r="AE61" s="6">
        <f>IF(B62&gt;0,K61,"")</f>
        <v>57.410043289206996</v>
      </c>
    </row>
    <row r="62" spans="2:42" x14ac:dyDescent="0.2">
      <c r="B62" s="5">
        <f>B59+1</f>
        <v>13</v>
      </c>
      <c r="C62" s="25">
        <f>(C65+Panels!C48)/2</f>
        <v>49.975687317475561</v>
      </c>
      <c r="D62" s="25">
        <f>(D65+Panels!D48)/2</f>
        <v>62.604350343043329</v>
      </c>
      <c r="E62" s="27"/>
      <c r="F62" s="26">
        <f>IF(TH!$H$18="x",C62,0)</f>
        <v>49.975687317475561</v>
      </c>
      <c r="G62" s="26">
        <f>IF(TH!$H$18="x",D62,0)</f>
        <v>62.604350343043329</v>
      </c>
      <c r="H62" s="26"/>
      <c r="I62" s="26"/>
      <c r="J62" s="26">
        <f>J61</f>
        <v>53.054947030414297</v>
      </c>
      <c r="K62" s="26">
        <f>K61</f>
        <v>57.410043289206996</v>
      </c>
      <c r="L62" s="32"/>
      <c r="M62" s="26">
        <f t="shared" ref="M62:O62" si="45">M61</f>
        <v>2.5921429322026674</v>
      </c>
      <c r="N62" s="26">
        <f t="shared" si="45"/>
        <v>110.98487256554887</v>
      </c>
      <c r="O62" s="33">
        <f t="shared" si="45"/>
        <v>754.24695494535467</v>
      </c>
      <c r="P62" s="10">
        <f t="shared" si="36"/>
        <v>377.12347747267734</v>
      </c>
      <c r="Q62" s="10">
        <f t="shared" si="37"/>
        <v>-377.12347747267734</v>
      </c>
      <c r="R62" s="214">
        <f t="shared" si="8"/>
        <v>-28.589340023110594</v>
      </c>
      <c r="S62" s="224">
        <f t="shared" si="15"/>
        <v>391.41814748423263</v>
      </c>
      <c r="T62" s="225">
        <f t="shared" si="38"/>
        <v>-391.41814748423263</v>
      </c>
      <c r="U62" s="214">
        <f t="shared" si="9"/>
        <v>71.346968642819547</v>
      </c>
      <c r="V62" s="232">
        <f t="shared" ref="V62:V93" si="46">PI()*($M$3*($N62-$E$4)*2+$K$3)^2/2</f>
        <v>341.44999315126756</v>
      </c>
      <c r="W62" s="233">
        <f t="shared" si="17"/>
        <v>-341.44999315126756</v>
      </c>
      <c r="X62" s="214">
        <f t="shared" si="10"/>
        <v>150.01733084346404</v>
      </c>
      <c r="Y62" s="228">
        <f t="shared" si="18"/>
        <v>302.11481205094532</v>
      </c>
      <c r="Z62" s="229">
        <f t="shared" si="19"/>
        <v>-302.11481205094532</v>
      </c>
      <c r="AA62" s="214">
        <f t="shared" si="11"/>
        <v>202.02829632448515</v>
      </c>
      <c r="AB62" s="264">
        <f t="shared" si="20"/>
        <v>276.10932931043476</v>
      </c>
      <c r="AC62" s="265">
        <f t="shared" si="21"/>
        <v>-276.10932931043476</v>
      </c>
      <c r="AD62" s="214">
        <f>IF($D$9="Par",Path!R62,IF($D$9="Con",Path!U62,IF($D$9="Exp",Path!X62,IF($D$9="Hyp",Path!AA62))))</f>
        <v>150.01733084346404</v>
      </c>
      <c r="AE62" s="6">
        <f>IF(B62&gt;0,K62,"")</f>
        <v>57.410043289206996</v>
      </c>
    </row>
    <row r="63" spans="2:42" x14ac:dyDescent="0.2">
      <c r="B63" s="2"/>
      <c r="C63" s="42"/>
      <c r="D63" s="43"/>
      <c r="E63" s="43"/>
      <c r="F63" s="43"/>
      <c r="G63" s="43"/>
      <c r="H63" s="43"/>
      <c r="I63" s="43"/>
      <c r="J63" s="39">
        <f>J62</f>
        <v>53.054947030414297</v>
      </c>
      <c r="K63" s="39">
        <f>K62</f>
        <v>57.410043289206996</v>
      </c>
      <c r="L63" s="32"/>
      <c r="M63" s="39">
        <f>((H61-H58)^2+(I61-I58)^2)^0.5</f>
        <v>4.2114934690128134</v>
      </c>
      <c r="N63" s="39">
        <f>N60+M63</f>
        <v>115.19636603456168</v>
      </c>
      <c r="O63" s="33">
        <f>((C61-C62)^2+(D61-D62)^2)^0.5*Path!$F$3</f>
        <v>690.31359480678464</v>
      </c>
      <c r="P63" s="10">
        <f t="shared" si="36"/>
        <v>345.15679740339232</v>
      </c>
      <c r="Q63" s="10">
        <f t="shared" si="37"/>
        <v>-345.15679740339232</v>
      </c>
      <c r="R63" s="214">
        <f t="shared" si="8"/>
        <v>-112.66790386704974</v>
      </c>
      <c r="S63" s="224">
        <f t="shared" si="15"/>
        <v>401.49074933691719</v>
      </c>
      <c r="T63" s="225">
        <f t="shared" si="38"/>
        <v>-401.49074933691719</v>
      </c>
      <c r="U63" s="214">
        <f t="shared" si="9"/>
        <v>-9.4806155027234809</v>
      </c>
      <c r="V63" s="232">
        <f t="shared" si="46"/>
        <v>349.89710515475406</v>
      </c>
      <c r="W63" s="233">
        <f t="shared" si="17"/>
        <v>-349.89710515475406</v>
      </c>
      <c r="X63" s="214">
        <f t="shared" si="10"/>
        <v>72.964265063606945</v>
      </c>
      <c r="Y63" s="228">
        <f t="shared" si="18"/>
        <v>308.67466487158885</v>
      </c>
      <c r="Z63" s="229">
        <f t="shared" si="19"/>
        <v>-308.67466487158885</v>
      </c>
      <c r="AA63" s="214">
        <f t="shared" si="11"/>
        <v>127.3860524492685</v>
      </c>
      <c r="AB63" s="264">
        <f t="shared" si="20"/>
        <v>281.46377117875807</v>
      </c>
      <c r="AC63" s="265">
        <f t="shared" si="21"/>
        <v>-281.46377117875807</v>
      </c>
      <c r="AD63" s="214">
        <f>IF($D$9="Par",Path!R63,IF($D$9="Con",Path!U63,IF($D$9="Exp",Path!X63,IF($D$9="Hyp",Path!AA63))))</f>
        <v>72.964265063606945</v>
      </c>
      <c r="AE63" s="6">
        <f>IF(B62&gt;0,K63,"")</f>
        <v>57.410043289206996</v>
      </c>
    </row>
    <row r="64" spans="2:42" x14ac:dyDescent="0.2">
      <c r="B64" s="2"/>
      <c r="C64" s="21">
        <f>C61</f>
        <v>56.134206743353026</v>
      </c>
      <c r="D64" s="22">
        <f>D61</f>
        <v>52.215736235370656</v>
      </c>
      <c r="E64" s="23"/>
      <c r="F64" s="22">
        <f>IF(TH!$H$18="x",C64,0)</f>
        <v>56.134206743353026</v>
      </c>
      <c r="G64" s="22">
        <f>IF(TH!$H$18="x",D64,0)</f>
        <v>52.215736235370656</v>
      </c>
      <c r="H64" s="22">
        <f>SUM(C64:C65)/2</f>
        <v>56.362650681785198</v>
      </c>
      <c r="I64" s="22">
        <f>SUM(D64:D65)/2</f>
        <v>57.686753992427796</v>
      </c>
      <c r="J64" s="22">
        <f>IF(TH!$H$17="x",H64,0)</f>
        <v>56.362650681785198</v>
      </c>
      <c r="K64" s="26">
        <f>IF(TH!$H$17="x",I64,0)</f>
        <v>57.686753992427796</v>
      </c>
      <c r="L64" s="34"/>
      <c r="M64" s="22">
        <f t="shared" ref="M64:O64" si="47">M63</f>
        <v>4.2114934690128134</v>
      </c>
      <c r="N64" s="22">
        <f t="shared" si="47"/>
        <v>115.19636603456168</v>
      </c>
      <c r="O64" s="35">
        <f t="shared" si="47"/>
        <v>690.31359480678464</v>
      </c>
      <c r="P64" s="10">
        <f t="shared" si="36"/>
        <v>345.15679740339232</v>
      </c>
      <c r="Q64" s="10">
        <f t="shared" si="37"/>
        <v>-345.15679740339232</v>
      </c>
      <c r="R64" s="214">
        <f t="shared" si="8"/>
        <v>-112.66790386704974</v>
      </c>
      <c r="S64" s="224">
        <f t="shared" si="15"/>
        <v>401.49074933691719</v>
      </c>
      <c r="T64" s="225">
        <f t="shared" si="38"/>
        <v>-401.49074933691719</v>
      </c>
      <c r="U64" s="214">
        <f t="shared" si="9"/>
        <v>-9.4806155027234809</v>
      </c>
      <c r="V64" s="232">
        <f t="shared" si="46"/>
        <v>349.89710515475406</v>
      </c>
      <c r="W64" s="233">
        <f t="shared" si="17"/>
        <v>-349.89710515475406</v>
      </c>
      <c r="X64" s="214">
        <f t="shared" si="10"/>
        <v>72.964265063606945</v>
      </c>
      <c r="Y64" s="228">
        <f t="shared" si="18"/>
        <v>308.67466487158885</v>
      </c>
      <c r="Z64" s="229">
        <f t="shared" si="19"/>
        <v>-308.67466487158885</v>
      </c>
      <c r="AA64" s="214">
        <f t="shared" si="11"/>
        <v>127.3860524492685</v>
      </c>
      <c r="AB64" s="264">
        <f t="shared" si="20"/>
        <v>281.46377117875807</v>
      </c>
      <c r="AC64" s="265">
        <f t="shared" si="21"/>
        <v>-281.46377117875807</v>
      </c>
      <c r="AD64" s="214">
        <f>IF($D$9="Par",Path!R64,IF($D$9="Con",Path!U64,IF($D$9="Exp",Path!X64,IF($D$9="Hyp",Path!AA64))))</f>
        <v>72.964265063606945</v>
      </c>
      <c r="AE64" s="6">
        <f>IF(B65&gt;0,K64,"")</f>
        <v>57.686753992427796</v>
      </c>
      <c r="AH64" s="2" t="str">
        <f>Panels!A54</f>
        <v>Panel I (4th inside)</v>
      </c>
      <c r="AI64" s="6">
        <f>C64</f>
        <v>56.134206743353026</v>
      </c>
      <c r="AJ64" s="6">
        <f>D64</f>
        <v>52.215736235370656</v>
      </c>
      <c r="AK64" s="6">
        <f>AI64+10*$E$22</f>
        <v>56.551396125844427</v>
      </c>
      <c r="AL64" s="6">
        <f>AJ64+10*$E$21</f>
        <v>62.207030096484765</v>
      </c>
      <c r="AM64" s="9">
        <f>IF(AK64-AI64&lt;&gt;0,(AL64-AJ64)/(AK64-AI64),"vertical")</f>
        <v>23.94906073938747</v>
      </c>
      <c r="AN64" s="9">
        <f>IF(AM64&lt;&gt;"vertical",(AL64*AI64-AJ64*AK64)/(AI64-AK64),AJ64)</f>
        <v>-1292.1457906185242</v>
      </c>
    </row>
    <row r="65" spans="2:42" x14ac:dyDescent="0.2">
      <c r="B65" s="5">
        <f>B62+1</f>
        <v>14</v>
      </c>
      <c r="C65" s="25">
        <f>AO65</f>
        <v>56.591094620217362</v>
      </c>
      <c r="D65" s="25">
        <f>AP65</f>
        <v>63.15777174948493</v>
      </c>
      <c r="E65" s="27"/>
      <c r="F65" s="26">
        <f>IF(TH!$H$18="x",C65,0)</f>
        <v>56.591094620217362</v>
      </c>
      <c r="G65" s="26">
        <f>IF(TH!$H$18="x",D65,0)</f>
        <v>63.15777174948493</v>
      </c>
      <c r="H65" s="26"/>
      <c r="I65" s="26"/>
      <c r="J65" s="26">
        <f>J64</f>
        <v>56.362650681785198</v>
      </c>
      <c r="K65" s="26">
        <f>K64</f>
        <v>57.686753992427796</v>
      </c>
      <c r="L65" s="32"/>
      <c r="M65" s="26">
        <f t="shared" ref="M65:O65" si="48">M64</f>
        <v>4.2114934690128134</v>
      </c>
      <c r="N65" s="26">
        <f t="shared" si="48"/>
        <v>115.19636603456168</v>
      </c>
      <c r="O65" s="33">
        <f t="shared" si="48"/>
        <v>690.31359480678464</v>
      </c>
      <c r="P65" s="10">
        <f t="shared" si="36"/>
        <v>345.15679740339232</v>
      </c>
      <c r="Q65" s="10">
        <f t="shared" si="37"/>
        <v>-345.15679740339232</v>
      </c>
      <c r="R65" s="214">
        <f t="shared" si="8"/>
        <v>-112.66790386704974</v>
      </c>
      <c r="S65" s="224">
        <f t="shared" si="15"/>
        <v>401.49074933691719</v>
      </c>
      <c r="T65" s="225">
        <f t="shared" si="38"/>
        <v>-401.49074933691719</v>
      </c>
      <c r="U65" s="214">
        <f t="shared" si="9"/>
        <v>-9.4806155027234809</v>
      </c>
      <c r="V65" s="232">
        <f t="shared" si="46"/>
        <v>349.89710515475406</v>
      </c>
      <c r="W65" s="233">
        <f t="shared" si="17"/>
        <v>-349.89710515475406</v>
      </c>
      <c r="X65" s="214">
        <f t="shared" si="10"/>
        <v>72.964265063606945</v>
      </c>
      <c r="Y65" s="228">
        <f t="shared" si="18"/>
        <v>308.67466487158885</v>
      </c>
      <c r="Z65" s="229">
        <f t="shared" si="19"/>
        <v>-308.67466487158885</v>
      </c>
      <c r="AA65" s="214">
        <f t="shared" si="11"/>
        <v>127.3860524492685</v>
      </c>
      <c r="AB65" s="264">
        <f t="shared" si="20"/>
        <v>281.46377117875807</v>
      </c>
      <c r="AC65" s="265">
        <f t="shared" si="21"/>
        <v>-281.46377117875807</v>
      </c>
      <c r="AD65" s="214">
        <f>IF($D$9="Par",Path!R65,IF($D$9="Con",Path!U65,IF($D$9="Exp",Path!X65,IF($D$9="Hyp",Path!AA65))))</f>
        <v>72.964265063606945</v>
      </c>
      <c r="AE65" s="6">
        <f>IF(B65&gt;0,K65,"")</f>
        <v>57.686753992427796</v>
      </c>
      <c r="AH65" s="2" t="str">
        <f>Panels!A42</f>
        <v>Panel G (2nd inside)</v>
      </c>
      <c r="AI65" s="6">
        <f>Panels!C43</f>
        <v>35.138614221801454</v>
      </c>
      <c r="AJ65" s="6">
        <f>Panels!D43</f>
        <v>61.363133667437943</v>
      </c>
      <c r="AK65" s="6">
        <f>Panels!C44</f>
        <v>67.955630708791986</v>
      </c>
      <c r="AL65" s="6">
        <f>Panels!D44</f>
        <v>64.108488350575925</v>
      </c>
      <c r="AM65" s="9">
        <f>(AL65-AJ65)/(AK65-AI65)</f>
        <v>8.3656437331111694E-2</v>
      </c>
      <c r="AN65" s="9">
        <f>(AL65*AI65-AJ65*AK65)/(AI65-AK65)</f>
        <v>58.423562388889707</v>
      </c>
      <c r="AO65" s="6">
        <f>IF(AM64&lt;&gt;"vertical",(AN64-AN65)/(AM65-AM64),AI64)</f>
        <v>56.591094620217362</v>
      </c>
      <c r="AP65" s="6">
        <f>AO65*AM65+AN65</f>
        <v>63.15777174948493</v>
      </c>
    </row>
    <row r="66" spans="2:42" x14ac:dyDescent="0.2">
      <c r="B66" s="2"/>
      <c r="C66" s="42"/>
      <c r="D66" s="43"/>
      <c r="E66" s="43"/>
      <c r="F66" s="43"/>
      <c r="G66" s="43"/>
      <c r="H66" s="43"/>
      <c r="I66" s="43"/>
      <c r="J66" s="39">
        <f>J65</f>
        <v>56.362650681785198</v>
      </c>
      <c r="K66" s="39">
        <f>K65</f>
        <v>57.686753992427796</v>
      </c>
      <c r="L66" s="32"/>
      <c r="M66" s="39">
        <f>((H64-H61)^2+(I64-I61)^2)^0.5</f>
        <v>3.3192577873026581</v>
      </c>
      <c r="N66" s="39">
        <f>N63+M66</f>
        <v>118.51562382186434</v>
      </c>
      <c r="O66" s="33">
        <f>((C64-C65)^2+(D64-D65)^2)^0.5*Path!$F$3</f>
        <v>625.99174709593592</v>
      </c>
      <c r="P66" s="10">
        <f t="shared" si="36"/>
        <v>312.99587354796796</v>
      </c>
      <c r="Q66" s="10">
        <f t="shared" si="37"/>
        <v>-312.99587354796796</v>
      </c>
      <c r="R66" s="214">
        <f t="shared" si="8"/>
        <v>-192.86704659636098</v>
      </c>
      <c r="S66" s="224">
        <f t="shared" si="15"/>
        <v>409.42939684614845</v>
      </c>
      <c r="T66" s="225">
        <f t="shared" si="38"/>
        <v>-409.42939684614845</v>
      </c>
      <c r="U66" s="214">
        <f t="shared" si="9"/>
        <v>-87.262982354079554</v>
      </c>
      <c r="V66" s="232">
        <f t="shared" si="46"/>
        <v>356.62736472500774</v>
      </c>
      <c r="W66" s="233">
        <f t="shared" si="17"/>
        <v>-356.62736472500774</v>
      </c>
      <c r="X66" s="214">
        <f t="shared" si="10"/>
        <v>-1.8982119793776064</v>
      </c>
      <c r="Y66" s="228">
        <f t="shared" si="18"/>
        <v>313.94497953765676</v>
      </c>
      <c r="Z66" s="229">
        <f t="shared" si="19"/>
        <v>-313.94497953765676</v>
      </c>
      <c r="AA66" s="214">
        <f t="shared" si="11"/>
        <v>54.388688256667933</v>
      </c>
      <c r="AB66" s="264">
        <f t="shared" si="20"/>
        <v>285.80152941963399</v>
      </c>
      <c r="AC66" s="265">
        <f t="shared" si="21"/>
        <v>-285.80152941963399</v>
      </c>
      <c r="AD66" s="214">
        <f>IF($D$9="Par",Path!R66,IF($D$9="Con",Path!U66,IF($D$9="Exp",Path!X66,IF($D$9="Hyp",Path!AA66))))</f>
        <v>-1.8982119793776064</v>
      </c>
      <c r="AE66" s="6">
        <f>IF(B65&gt;0,K66,"")</f>
        <v>57.686753992427796</v>
      </c>
    </row>
    <row r="67" spans="2:42" x14ac:dyDescent="0.2">
      <c r="B67" s="2"/>
      <c r="C67" s="21">
        <f>Panels!C56</f>
        <v>57.334206743353029</v>
      </c>
      <c r="D67" s="21">
        <f>Panels!D56</f>
        <v>52.215736235370656</v>
      </c>
      <c r="E67" s="23"/>
      <c r="F67" s="22">
        <f>IF(TH!$H$18="x",C67,0)</f>
        <v>57.334206743353029</v>
      </c>
      <c r="G67" s="22">
        <f>IF(TH!$H$18="x",D67,0)</f>
        <v>52.215736235370656</v>
      </c>
      <c r="H67" s="22">
        <f>SUM(C67:C68)/2</f>
        <v>57.564753887822</v>
      </c>
      <c r="I67" s="22">
        <f>SUM(D67:D68)/2</f>
        <v>57.737123801550474</v>
      </c>
      <c r="J67" s="22">
        <f>IF(TH!$H$17="x",H67,0)</f>
        <v>57.564753887822</v>
      </c>
      <c r="K67" s="26">
        <f>IF(TH!$H$17="x",I67,0)</f>
        <v>57.737123801550474</v>
      </c>
      <c r="L67" s="34"/>
      <c r="M67" s="22">
        <f t="shared" ref="M67:O67" si="49">M66</f>
        <v>3.3192577873026581</v>
      </c>
      <c r="N67" s="22">
        <f t="shared" si="49"/>
        <v>118.51562382186434</v>
      </c>
      <c r="O67" s="35">
        <f t="shared" si="49"/>
        <v>625.99174709593592</v>
      </c>
      <c r="P67" s="10">
        <f t="shared" si="36"/>
        <v>312.99587354796796</v>
      </c>
      <c r="Q67" s="10">
        <f t="shared" si="37"/>
        <v>-312.99587354796796</v>
      </c>
      <c r="R67" s="214">
        <f t="shared" si="8"/>
        <v>-192.86704659636098</v>
      </c>
      <c r="S67" s="224">
        <f t="shared" si="15"/>
        <v>409.42939684614845</v>
      </c>
      <c r="T67" s="225">
        <f t="shared" si="38"/>
        <v>-409.42939684614845</v>
      </c>
      <c r="U67" s="214">
        <f t="shared" si="9"/>
        <v>-87.262982354079554</v>
      </c>
      <c r="V67" s="232">
        <f t="shared" si="46"/>
        <v>356.62736472500774</v>
      </c>
      <c r="W67" s="233">
        <f t="shared" si="17"/>
        <v>-356.62736472500774</v>
      </c>
      <c r="X67" s="214">
        <f t="shared" si="10"/>
        <v>-1.8982119793776064</v>
      </c>
      <c r="Y67" s="228">
        <f t="shared" si="18"/>
        <v>313.94497953765676</v>
      </c>
      <c r="Z67" s="229">
        <f t="shared" si="19"/>
        <v>-313.94497953765676</v>
      </c>
      <c r="AA67" s="214">
        <f t="shared" si="11"/>
        <v>54.388688256667933</v>
      </c>
      <c r="AB67" s="264">
        <f t="shared" si="20"/>
        <v>285.80152941963399</v>
      </c>
      <c r="AC67" s="265">
        <f t="shared" si="21"/>
        <v>-285.80152941963399</v>
      </c>
      <c r="AD67" s="214">
        <f>IF($D$9="Par",Path!R67,IF($D$9="Con",Path!U67,IF($D$9="Exp",Path!X67,IF($D$9="Hyp",Path!AA67))))</f>
        <v>-1.8982119793776064</v>
      </c>
      <c r="AE67" s="6">
        <f>IF(B68&gt;0,K67,"")</f>
        <v>57.737123801550474</v>
      </c>
      <c r="AH67" s="2" t="str">
        <f>AH76</f>
        <v>Panel I (4th inside)</v>
      </c>
      <c r="AI67" s="6">
        <f>C67</f>
        <v>57.334206743353029</v>
      </c>
      <c r="AJ67" s="6">
        <f>D67</f>
        <v>52.215736235370656</v>
      </c>
      <c r="AK67" s="6">
        <f>AI67+10*$E$22</f>
        <v>57.75139612584443</v>
      </c>
      <c r="AL67" s="6">
        <f>AJ67+10*$E$21</f>
        <v>62.207030096484765</v>
      </c>
      <c r="AM67" s="9">
        <f>IF(AK67-AI67&lt;&gt;0,(AL67-AJ67)/(AK67-AI67),"vertical")</f>
        <v>23.94906073938747</v>
      </c>
      <c r="AN67" s="9">
        <f>IF(AM67&lt;&gt;"vertical",(AL67*AI67-AJ67*AK67)/(AI67-AK67),AJ67)</f>
        <v>-1320.8846635057896</v>
      </c>
    </row>
    <row r="68" spans="2:42" x14ac:dyDescent="0.2">
      <c r="B68" s="5">
        <f>B65+1</f>
        <v>15</v>
      </c>
      <c r="C68" s="25">
        <f>AO68</f>
        <v>57.795301032290972</v>
      </c>
      <c r="D68" s="25">
        <f>AP68</f>
        <v>63.258511367730293</v>
      </c>
      <c r="E68" s="27"/>
      <c r="F68" s="26">
        <f>IF(TH!$H$18="x",C68,0)</f>
        <v>57.795301032290972</v>
      </c>
      <c r="G68" s="26">
        <f>IF(TH!$H$18="x",D68,0)</f>
        <v>63.258511367730293</v>
      </c>
      <c r="H68" s="26"/>
      <c r="I68" s="26"/>
      <c r="J68" s="26">
        <f>J67</f>
        <v>57.564753887822</v>
      </c>
      <c r="K68" s="26">
        <f>K67</f>
        <v>57.737123801550474</v>
      </c>
      <c r="L68" s="32"/>
      <c r="M68" s="26">
        <f t="shared" ref="M68:O68" si="50">M67</f>
        <v>3.3192577873026581</v>
      </c>
      <c r="N68" s="26">
        <f t="shared" si="50"/>
        <v>118.51562382186434</v>
      </c>
      <c r="O68" s="33">
        <f t="shared" si="50"/>
        <v>625.99174709593592</v>
      </c>
      <c r="P68" s="10">
        <f t="shared" si="36"/>
        <v>312.99587354796796</v>
      </c>
      <c r="Q68" s="10">
        <f t="shared" si="37"/>
        <v>-312.99587354796796</v>
      </c>
      <c r="R68" s="214">
        <f t="shared" si="8"/>
        <v>-192.86704659636098</v>
      </c>
      <c r="S68" s="224">
        <f t="shared" si="15"/>
        <v>409.42939684614845</v>
      </c>
      <c r="T68" s="225">
        <f t="shared" si="38"/>
        <v>-409.42939684614845</v>
      </c>
      <c r="U68" s="214">
        <f t="shared" si="9"/>
        <v>-87.262982354079554</v>
      </c>
      <c r="V68" s="232">
        <f t="shared" si="46"/>
        <v>356.62736472500774</v>
      </c>
      <c r="W68" s="233">
        <f t="shared" si="17"/>
        <v>-356.62736472500774</v>
      </c>
      <c r="X68" s="214">
        <f t="shared" si="10"/>
        <v>-1.8982119793776064</v>
      </c>
      <c r="Y68" s="228">
        <f t="shared" si="18"/>
        <v>313.94497953765676</v>
      </c>
      <c r="Z68" s="229">
        <f t="shared" si="19"/>
        <v>-313.94497953765676</v>
      </c>
      <c r="AA68" s="214">
        <f t="shared" si="11"/>
        <v>54.388688256667933</v>
      </c>
      <c r="AB68" s="264">
        <f t="shared" si="20"/>
        <v>285.80152941963399</v>
      </c>
      <c r="AC68" s="265">
        <f t="shared" si="21"/>
        <v>-285.80152941963399</v>
      </c>
      <c r="AD68" s="214">
        <f>IF($D$9="Par",Path!R68,IF($D$9="Con",Path!U68,IF($D$9="Exp",Path!X68,IF($D$9="Hyp",Path!AA68))))</f>
        <v>-1.8982119793776064</v>
      </c>
      <c r="AE68" s="6">
        <f>IF(B68&gt;0,K68,"")</f>
        <v>57.737123801550474</v>
      </c>
      <c r="AH68" s="2" t="str">
        <f>Panels!A42</f>
        <v>Panel G (2nd inside)</v>
      </c>
      <c r="AI68" s="6">
        <f>Panels!C43</f>
        <v>35.138614221801454</v>
      </c>
      <c r="AJ68" s="6">
        <f>Panels!D43</f>
        <v>61.363133667437943</v>
      </c>
      <c r="AK68" s="6">
        <f>Panels!C44</f>
        <v>67.955630708791986</v>
      </c>
      <c r="AL68" s="6">
        <f>Panels!D44</f>
        <v>64.108488350575925</v>
      </c>
      <c r="AM68" s="9">
        <f>(AL68-AJ68)/(AK68-AI68)</f>
        <v>8.3656437331111694E-2</v>
      </c>
      <c r="AN68" s="9">
        <f>(AL68*AI68-AJ68*AK68)/(AI68-AK68)</f>
        <v>58.423562388889707</v>
      </c>
      <c r="AO68" s="6">
        <f>IF(AM67&lt;&gt;"vertical",(AN67-AN68)/(AM68-AM67),AI67)</f>
        <v>57.795301032290972</v>
      </c>
      <c r="AP68" s="6">
        <f>AO68*AM68+AN68</f>
        <v>63.258511367730293</v>
      </c>
    </row>
    <row r="69" spans="2:42" x14ac:dyDescent="0.2">
      <c r="B69" s="2"/>
      <c r="C69" s="42"/>
      <c r="D69" s="43"/>
      <c r="E69" s="43"/>
      <c r="F69" s="43"/>
      <c r="G69" s="43"/>
      <c r="H69" s="43"/>
      <c r="I69" s="43"/>
      <c r="J69" s="39">
        <f>J68</f>
        <v>57.564753887822</v>
      </c>
      <c r="K69" s="39">
        <f>K68</f>
        <v>57.737123801550474</v>
      </c>
      <c r="L69" s="32"/>
      <c r="M69" s="39">
        <f>((H67-H64)^2+(I67-I64)^2)^0.5</f>
        <v>1.2031580260443826</v>
      </c>
      <c r="N69" s="39">
        <f>N66+M69</f>
        <v>119.71878184790872</v>
      </c>
      <c r="O69" s="33">
        <f>((C67-C68)^2+(D67-D68)^2)^0.5*Path!$F$3</f>
        <v>631.75504127880049</v>
      </c>
      <c r="P69" s="10">
        <f t="shared" si="36"/>
        <v>315.87752063940025</v>
      </c>
      <c r="Q69" s="10">
        <f t="shared" si="37"/>
        <v>-315.87752063940025</v>
      </c>
      <c r="R69" s="214">
        <f t="shared" si="8"/>
        <v>-192.85892304423601</v>
      </c>
      <c r="S69" s="224">
        <f t="shared" si="15"/>
        <v>412.30698216151825</v>
      </c>
      <c r="T69" s="225">
        <f t="shared" si="38"/>
        <v>-412.30698216151825</v>
      </c>
      <c r="U69" s="214">
        <f t="shared" si="9"/>
        <v>-86.410494035569627</v>
      </c>
      <c r="V69" s="232">
        <f t="shared" si="46"/>
        <v>359.08276765718506</v>
      </c>
      <c r="W69" s="233">
        <f t="shared" si="17"/>
        <v>-359.08276765718506</v>
      </c>
      <c r="X69" s="214">
        <f t="shared" si="10"/>
        <v>5.4824566973366018E-5</v>
      </c>
      <c r="Y69" s="228">
        <f t="shared" si="18"/>
        <v>315.87749322711676</v>
      </c>
      <c r="Z69" s="229">
        <f t="shared" si="19"/>
        <v>-315.87749322711676</v>
      </c>
      <c r="AA69" s="214">
        <f t="shared" si="11"/>
        <v>56.95511261015497</v>
      </c>
      <c r="AB69" s="264">
        <f t="shared" si="20"/>
        <v>287.39996433432276</v>
      </c>
      <c r="AC69" s="265">
        <f t="shared" si="21"/>
        <v>-287.39996433432276</v>
      </c>
      <c r="AD69" s="214">
        <f>IF($D$9="Par",Path!R69,IF($D$9="Con",Path!U69,IF($D$9="Exp",Path!X69,IF($D$9="Hyp",Path!AA69))))</f>
        <v>5.4824566973366018E-5</v>
      </c>
      <c r="AE69" s="6">
        <f>IF(B68&gt;0,K69,"")</f>
        <v>57.737123801550474</v>
      </c>
    </row>
    <row r="70" spans="2:42" x14ac:dyDescent="0.2">
      <c r="B70" s="2"/>
      <c r="C70" s="21">
        <f>C67</f>
        <v>57.334206743353029</v>
      </c>
      <c r="D70" s="22">
        <f>D67</f>
        <v>52.215736235370656</v>
      </c>
      <c r="E70" s="23"/>
      <c r="F70" s="22">
        <f>IF(TH!$H$18="x",C70,0)</f>
        <v>57.334206743353029</v>
      </c>
      <c r="G70" s="22">
        <f>IF(TH!$H$18="x",D70,0)</f>
        <v>52.215736235370656</v>
      </c>
      <c r="H70" s="22">
        <f>SUM(C70:C71)/2</f>
        <v>60.104836306947249</v>
      </c>
      <c r="I70" s="22">
        <f>SUM(D70:D71)/2</f>
        <v>57.949618047261879</v>
      </c>
      <c r="J70" s="22">
        <f>IF(TH!$H$17="x",H70,0)</f>
        <v>60.104836306947249</v>
      </c>
      <c r="K70" s="26">
        <f>IF(TH!$H$17="x",I70,0)</f>
        <v>57.949618047261879</v>
      </c>
      <c r="L70" s="34"/>
      <c r="M70" s="22">
        <f t="shared" ref="M70:O70" si="51">M69</f>
        <v>1.2031580260443826</v>
      </c>
      <c r="N70" s="22">
        <f t="shared" si="51"/>
        <v>119.71878184790872</v>
      </c>
      <c r="O70" s="35">
        <f t="shared" si="51"/>
        <v>631.75504127880049</v>
      </c>
      <c r="P70" s="10">
        <f t="shared" si="36"/>
        <v>315.87752063940025</v>
      </c>
      <c r="Q70" s="10">
        <f t="shared" si="37"/>
        <v>-315.87752063940025</v>
      </c>
      <c r="R70" s="214">
        <f t="shared" si="8"/>
        <v>-192.85892304423601</v>
      </c>
      <c r="S70" s="224">
        <f t="shared" si="15"/>
        <v>412.30698216151825</v>
      </c>
      <c r="T70" s="225">
        <f t="shared" si="38"/>
        <v>-412.30698216151825</v>
      </c>
      <c r="U70" s="214">
        <f t="shared" si="9"/>
        <v>-86.410494035569627</v>
      </c>
      <c r="V70" s="232">
        <f t="shared" si="46"/>
        <v>359.08276765718506</v>
      </c>
      <c r="W70" s="233">
        <f t="shared" si="17"/>
        <v>-359.08276765718506</v>
      </c>
      <c r="X70" s="214">
        <f t="shared" si="10"/>
        <v>5.4824566973366018E-5</v>
      </c>
      <c r="Y70" s="228">
        <f t="shared" si="18"/>
        <v>315.87749322711676</v>
      </c>
      <c r="Z70" s="229">
        <f t="shared" si="19"/>
        <v>-315.87749322711676</v>
      </c>
      <c r="AA70" s="214">
        <f t="shared" si="11"/>
        <v>56.95511261015497</v>
      </c>
      <c r="AB70" s="264">
        <f t="shared" si="20"/>
        <v>287.39996433432276</v>
      </c>
      <c r="AC70" s="265">
        <f t="shared" si="21"/>
        <v>-287.39996433432276</v>
      </c>
      <c r="AD70" s="214">
        <f>IF($D$9="Par",Path!R70,IF($D$9="Con",Path!U70,IF($D$9="Exp",Path!X70,IF($D$9="Hyp",Path!AA70))))</f>
        <v>5.4824566973366018E-5</v>
      </c>
      <c r="AE70" s="6">
        <f>IF(B71&gt;0,K70,"")</f>
        <v>57.949618047261879</v>
      </c>
    </row>
    <row r="71" spans="2:42" x14ac:dyDescent="0.2">
      <c r="B71" s="5">
        <f>B68+1</f>
        <v>16</v>
      </c>
      <c r="C71" s="25">
        <f>(C68+Panels!C44)/2</f>
        <v>62.875465870541476</v>
      </c>
      <c r="D71" s="25">
        <f>(D68+Panels!D44)/2</f>
        <v>63.683499859153109</v>
      </c>
      <c r="E71" s="27"/>
      <c r="F71" s="26">
        <f>IF(TH!$H$18="x",C71,0)</f>
        <v>62.875465870541476</v>
      </c>
      <c r="G71" s="26">
        <f>IF(TH!$H$18="x",D71,0)</f>
        <v>63.683499859153109</v>
      </c>
      <c r="H71" s="26"/>
      <c r="I71" s="26"/>
      <c r="J71" s="26">
        <f>J70</f>
        <v>60.104836306947249</v>
      </c>
      <c r="K71" s="26">
        <f>K70</f>
        <v>57.949618047261879</v>
      </c>
      <c r="L71" s="32"/>
      <c r="M71" s="26">
        <f t="shared" ref="M71:O71" si="52">M70</f>
        <v>1.2031580260443826</v>
      </c>
      <c r="N71" s="26">
        <f t="shared" si="52"/>
        <v>119.71878184790872</v>
      </c>
      <c r="O71" s="33">
        <f t="shared" si="52"/>
        <v>631.75504127880049</v>
      </c>
      <c r="P71" s="10">
        <f t="shared" si="36"/>
        <v>315.87752063940025</v>
      </c>
      <c r="Q71" s="10">
        <f t="shared" si="37"/>
        <v>-315.87752063940025</v>
      </c>
      <c r="R71" s="214">
        <f t="shared" si="8"/>
        <v>-192.85892304423601</v>
      </c>
      <c r="S71" s="224">
        <f t="shared" si="15"/>
        <v>412.30698216151825</v>
      </c>
      <c r="T71" s="225">
        <f t="shared" si="38"/>
        <v>-412.30698216151825</v>
      </c>
      <c r="U71" s="214">
        <f t="shared" si="9"/>
        <v>-86.410494035569627</v>
      </c>
      <c r="V71" s="232">
        <f t="shared" si="46"/>
        <v>359.08276765718506</v>
      </c>
      <c r="W71" s="233">
        <f t="shared" si="17"/>
        <v>-359.08276765718506</v>
      </c>
      <c r="X71" s="214">
        <f t="shared" si="10"/>
        <v>5.4824566973366018E-5</v>
      </c>
      <c r="Y71" s="228">
        <f t="shared" si="18"/>
        <v>315.87749322711676</v>
      </c>
      <c r="Z71" s="229">
        <f t="shared" si="19"/>
        <v>-315.87749322711676</v>
      </c>
      <c r="AA71" s="214">
        <f t="shared" si="11"/>
        <v>56.95511261015497</v>
      </c>
      <c r="AB71" s="264">
        <f t="shared" si="20"/>
        <v>287.39996433432276</v>
      </c>
      <c r="AC71" s="265">
        <f t="shared" si="21"/>
        <v>-287.39996433432276</v>
      </c>
      <c r="AD71" s="214">
        <f>IF($D$9="Par",Path!R71,IF($D$9="Con",Path!U71,IF($D$9="Exp",Path!X71,IF($D$9="Hyp",Path!AA71))))</f>
        <v>5.4824566973366018E-5</v>
      </c>
      <c r="AE71" s="6">
        <f>IF(B71&gt;0,K71,"")</f>
        <v>57.949618047261879</v>
      </c>
    </row>
    <row r="72" spans="2:42" x14ac:dyDescent="0.2">
      <c r="B72" s="2"/>
      <c r="C72" s="42"/>
      <c r="D72" s="43"/>
      <c r="E72" s="43"/>
      <c r="F72" s="43"/>
      <c r="G72" s="43"/>
      <c r="H72" s="43"/>
      <c r="I72" s="43"/>
      <c r="J72" s="39">
        <f>J71</f>
        <v>60.104836306947249</v>
      </c>
      <c r="K72" s="39">
        <f>K71</f>
        <v>57.949618047261879</v>
      </c>
      <c r="L72" s="32"/>
      <c r="M72" s="39">
        <f>((H70-H67)^2+(I70-I67)^2)^0.5</f>
        <v>2.5489551781876498</v>
      </c>
      <c r="N72" s="39">
        <f>N69+M72</f>
        <v>122.26773702609637</v>
      </c>
      <c r="O72" s="33">
        <f>((C70-C71)^2+(D70-D71)^2)^0.5*Path!$F$3</f>
        <v>728.01098654663156</v>
      </c>
      <c r="P72" s="10">
        <f t="shared" si="36"/>
        <v>364.00549327331578</v>
      </c>
      <c r="Q72" s="10">
        <f t="shared" si="37"/>
        <v>-364.00549327331578</v>
      </c>
      <c r="R72" s="214">
        <f t="shared" si="8"/>
        <v>-108.79561719951244</v>
      </c>
      <c r="S72" s="224">
        <f t="shared" si="15"/>
        <v>418.403301873072</v>
      </c>
      <c r="T72" s="225">
        <f t="shared" si="38"/>
        <v>-418.403301873072</v>
      </c>
      <c r="U72" s="214">
        <f t="shared" si="9"/>
        <v>-0.6140106630604123</v>
      </c>
      <c r="V72" s="232">
        <f t="shared" si="46"/>
        <v>364.31249860484598</v>
      </c>
      <c r="W72" s="233">
        <f t="shared" si="17"/>
        <v>-364.31249860484598</v>
      </c>
      <c r="X72" s="214">
        <f t="shared" si="10"/>
        <v>87.988957595112311</v>
      </c>
      <c r="Y72" s="228">
        <f t="shared" si="18"/>
        <v>320.01101447575962</v>
      </c>
      <c r="Z72" s="229">
        <f t="shared" si="19"/>
        <v>-320.01101447575962</v>
      </c>
      <c r="AA72" s="214">
        <f t="shared" si="11"/>
        <v>146.34521422655087</v>
      </c>
      <c r="AB72" s="264">
        <f t="shared" si="20"/>
        <v>290.83288616004035</v>
      </c>
      <c r="AC72" s="265">
        <f t="shared" si="21"/>
        <v>-290.83288616004035</v>
      </c>
      <c r="AD72" s="214">
        <f>IF($D$9="Par",Path!R72,IF($D$9="Con",Path!U72,IF($D$9="Exp",Path!X72,IF($D$9="Hyp",Path!AA72))))</f>
        <v>87.988957595112311</v>
      </c>
      <c r="AE72" s="6">
        <f>IF(B71&gt;0,K72,"")</f>
        <v>57.949618047261879</v>
      </c>
    </row>
    <row r="73" spans="2:42" x14ac:dyDescent="0.2">
      <c r="B73" s="2"/>
      <c r="C73" s="21">
        <f>C70</f>
        <v>57.334206743353029</v>
      </c>
      <c r="D73" s="22">
        <f>D70</f>
        <v>52.215736235370656</v>
      </c>
      <c r="E73" s="23"/>
      <c r="F73" s="22">
        <f>IF(TH!$H$18="x",C73,0)</f>
        <v>57.334206743353029</v>
      </c>
      <c r="G73" s="22">
        <f>IF(TH!$H$18="x",D73,0)</f>
        <v>52.215736235370656</v>
      </c>
      <c r="H73" s="22">
        <f>SUM(C73:C74)/2</f>
        <v>62.883536108915052</v>
      </c>
      <c r="I73" s="22">
        <f>SUM(D73:D74)/2</f>
        <v>55.309762964515762</v>
      </c>
      <c r="J73" s="22">
        <f>IF(TH!$H$17="x",H73,0)</f>
        <v>62.883536108915052</v>
      </c>
      <c r="K73" s="26">
        <f>IF(TH!$H$17="x",I73,0)</f>
        <v>55.309762964515762</v>
      </c>
      <c r="L73" s="34"/>
      <c r="M73" s="22">
        <f t="shared" ref="M73:O73" si="53">M72</f>
        <v>2.5489551781876498</v>
      </c>
      <c r="N73" s="22">
        <f t="shared" si="53"/>
        <v>122.26773702609637</v>
      </c>
      <c r="O73" s="35">
        <f t="shared" si="53"/>
        <v>728.01098654663156</v>
      </c>
      <c r="P73" s="10">
        <f t="shared" si="36"/>
        <v>364.00549327331578</v>
      </c>
      <c r="Q73" s="10">
        <f t="shared" si="37"/>
        <v>-364.00549327331578</v>
      </c>
      <c r="R73" s="214">
        <f t="shared" si="8"/>
        <v>-108.79561719951244</v>
      </c>
      <c r="S73" s="224">
        <f t="shared" si="15"/>
        <v>418.403301873072</v>
      </c>
      <c r="T73" s="225">
        <f t="shared" si="38"/>
        <v>-418.403301873072</v>
      </c>
      <c r="U73" s="214">
        <f t="shared" si="9"/>
        <v>-0.6140106630604123</v>
      </c>
      <c r="V73" s="232">
        <f t="shared" si="46"/>
        <v>364.31249860484598</v>
      </c>
      <c r="W73" s="233">
        <f t="shared" si="17"/>
        <v>-364.31249860484598</v>
      </c>
      <c r="X73" s="214">
        <f t="shared" si="10"/>
        <v>87.988957595112311</v>
      </c>
      <c r="Y73" s="228">
        <f t="shared" si="18"/>
        <v>320.01101447575962</v>
      </c>
      <c r="Z73" s="229">
        <f t="shared" si="19"/>
        <v>-320.01101447575962</v>
      </c>
      <c r="AA73" s="214">
        <f t="shared" si="11"/>
        <v>146.34521422655087</v>
      </c>
      <c r="AB73" s="264">
        <f t="shared" si="20"/>
        <v>290.83288616004035</v>
      </c>
      <c r="AC73" s="265">
        <f t="shared" si="21"/>
        <v>-290.83288616004035</v>
      </c>
      <c r="AD73" s="214">
        <f>IF($D$9="Par",Path!R73,IF($D$9="Con",Path!U73,IF($D$9="Exp",Path!X73,IF($D$9="Hyp",Path!AA73))))</f>
        <v>87.988957595112311</v>
      </c>
      <c r="AE73" s="6">
        <f>IF(B74&gt;0,K73,"")</f>
        <v>55.309762964515762</v>
      </c>
    </row>
    <row r="74" spans="2:42" x14ac:dyDescent="0.2">
      <c r="B74" s="5">
        <f>B71+1</f>
        <v>17</v>
      </c>
      <c r="C74" s="25">
        <f>(C77+Panels!C44)/2</f>
        <v>68.432865474477069</v>
      </c>
      <c r="D74" s="25">
        <f>(D77+Panels!D44)/2</f>
        <v>58.403789693660869</v>
      </c>
      <c r="E74" s="27"/>
      <c r="F74" s="26">
        <f>IF(TH!$H$18="x",C74,0)</f>
        <v>68.432865474477069</v>
      </c>
      <c r="G74" s="26">
        <f>IF(TH!$H$18="x",D74,0)</f>
        <v>58.403789693660869</v>
      </c>
      <c r="H74" s="26"/>
      <c r="I74" s="26"/>
      <c r="J74" s="26">
        <f>J73</f>
        <v>62.883536108915052</v>
      </c>
      <c r="K74" s="26">
        <f>K73</f>
        <v>55.309762964515762</v>
      </c>
      <c r="L74" s="32"/>
      <c r="M74" s="26">
        <f t="shared" ref="M74:O74" si="54">M73</f>
        <v>2.5489551781876498</v>
      </c>
      <c r="N74" s="26">
        <f t="shared" si="54"/>
        <v>122.26773702609637</v>
      </c>
      <c r="O74" s="33">
        <f t="shared" si="54"/>
        <v>728.01098654663156</v>
      </c>
      <c r="P74" s="10">
        <f t="shared" si="36"/>
        <v>364.00549327331578</v>
      </c>
      <c r="Q74" s="10">
        <f t="shared" si="37"/>
        <v>-364.00549327331578</v>
      </c>
      <c r="R74" s="214">
        <f t="shared" si="8"/>
        <v>-108.79561719951244</v>
      </c>
      <c r="S74" s="224">
        <f t="shared" si="15"/>
        <v>418.403301873072</v>
      </c>
      <c r="T74" s="225">
        <f t="shared" si="38"/>
        <v>-418.403301873072</v>
      </c>
      <c r="U74" s="214">
        <f t="shared" si="9"/>
        <v>-0.6140106630604123</v>
      </c>
      <c r="V74" s="232">
        <f t="shared" si="46"/>
        <v>364.31249860484598</v>
      </c>
      <c r="W74" s="233">
        <f t="shared" si="17"/>
        <v>-364.31249860484598</v>
      </c>
      <c r="X74" s="214">
        <f t="shared" si="10"/>
        <v>87.988957595112311</v>
      </c>
      <c r="Y74" s="228">
        <f t="shared" si="18"/>
        <v>320.01101447575962</v>
      </c>
      <c r="Z74" s="229">
        <f t="shared" si="19"/>
        <v>-320.01101447575962</v>
      </c>
      <c r="AA74" s="214">
        <f t="shared" si="11"/>
        <v>146.34521422655087</v>
      </c>
      <c r="AB74" s="264">
        <f t="shared" si="20"/>
        <v>290.83288616004035</v>
      </c>
      <c r="AC74" s="265">
        <f t="shared" si="21"/>
        <v>-290.83288616004035</v>
      </c>
      <c r="AD74" s="214">
        <f>IF($D$9="Par",Path!R74,IF($D$9="Con",Path!U74,IF($D$9="Exp",Path!X74,IF($D$9="Hyp",Path!AA74))))</f>
        <v>87.988957595112311</v>
      </c>
      <c r="AE74" s="6">
        <f>IF(B74&gt;0,K74,"")</f>
        <v>55.309762964515762</v>
      </c>
    </row>
    <row r="75" spans="2:42" x14ac:dyDescent="0.2">
      <c r="B75" s="2"/>
      <c r="C75" s="42"/>
      <c r="D75" s="43"/>
      <c r="E75" s="43"/>
      <c r="F75" s="43"/>
      <c r="G75" s="43"/>
      <c r="H75" s="43"/>
      <c r="I75" s="43"/>
      <c r="J75" s="39">
        <f>J74</f>
        <v>62.883536108915052</v>
      </c>
      <c r="K75" s="39">
        <f>K74</f>
        <v>55.309762964515762</v>
      </c>
      <c r="L75" s="32"/>
      <c r="M75" s="39">
        <f>((H73-H70)^2+(I73-I70)^2)^0.5</f>
        <v>3.8327545508884882</v>
      </c>
      <c r="N75" s="39">
        <f>N72+M75</f>
        <v>126.10049157698487</v>
      </c>
      <c r="O75" s="33">
        <f>((C73-C74)^2+(D73-D74)^2)^0.5*Path!$F$3</f>
        <v>726.3419762491792</v>
      </c>
      <c r="P75" s="10">
        <f t="shared" si="36"/>
        <v>363.1709881245896</v>
      </c>
      <c r="Q75" s="10">
        <f t="shared" si="37"/>
        <v>-363.1709881245896</v>
      </c>
      <c r="R75" s="214">
        <f t="shared" si="8"/>
        <v>-128.79817633146604</v>
      </c>
      <c r="S75" s="224">
        <f t="shared" si="15"/>
        <v>427.57007629032262</v>
      </c>
      <c r="T75" s="225">
        <f t="shared" si="38"/>
        <v>-427.57007629032262</v>
      </c>
      <c r="U75" s="214">
        <f t="shared" si="9"/>
        <v>-18.152800315160221</v>
      </c>
      <c r="V75" s="232">
        <f t="shared" si="46"/>
        <v>372.24738828216971</v>
      </c>
      <c r="W75" s="233">
        <f t="shared" si="17"/>
        <v>-372.24738828216971</v>
      </c>
      <c r="X75" s="214">
        <f t="shared" si="10"/>
        <v>73.685071841851595</v>
      </c>
      <c r="Y75" s="228">
        <f t="shared" si="18"/>
        <v>326.3284522036638</v>
      </c>
      <c r="Z75" s="229">
        <f t="shared" si="19"/>
        <v>-326.3284522036638</v>
      </c>
      <c r="AA75" s="214">
        <f t="shared" si="11"/>
        <v>134.11037377481898</v>
      </c>
      <c r="AB75" s="264">
        <f t="shared" si="20"/>
        <v>296.11580123718011</v>
      </c>
      <c r="AC75" s="265">
        <f t="shared" si="21"/>
        <v>-296.11580123718011</v>
      </c>
      <c r="AD75" s="214">
        <f>IF($D$9="Par",Path!R75,IF($D$9="Con",Path!U75,IF($D$9="Exp",Path!X75,IF($D$9="Hyp",Path!AA75))))</f>
        <v>73.685071841851595</v>
      </c>
      <c r="AE75" s="6">
        <f>IF(B74&gt;0,K75,"")</f>
        <v>55.309762964515762</v>
      </c>
    </row>
    <row r="76" spans="2:42" x14ac:dyDescent="0.2">
      <c r="B76" s="2"/>
      <c r="C76" s="21">
        <f>C73</f>
        <v>57.334206743353029</v>
      </c>
      <c r="D76" s="22">
        <f>D73</f>
        <v>52.215736235370656</v>
      </c>
      <c r="E76" s="23"/>
      <c r="F76" s="22">
        <f>IF(TH!$H$18="x",C76,0)</f>
        <v>57.334206743353029</v>
      </c>
      <c r="G76" s="22">
        <f>IF(TH!$H$18="x",D76,0)</f>
        <v>52.215736235370656</v>
      </c>
      <c r="H76" s="22">
        <f>SUM(C76:C77)/2</f>
        <v>63.122153491757587</v>
      </c>
      <c r="I76" s="22">
        <f>SUM(D76:D77)/2</f>
        <v>52.457413636058234</v>
      </c>
      <c r="J76" s="22">
        <f>IF(TH!$H$17="x",H76,0)</f>
        <v>63.122153491757587</v>
      </c>
      <c r="K76" s="26">
        <f>IF(TH!$H$17="x",I76,0)</f>
        <v>52.457413636058234</v>
      </c>
      <c r="L76" s="34"/>
      <c r="M76" s="22">
        <f t="shared" ref="M76:O76" si="55">M75</f>
        <v>3.8327545508884882</v>
      </c>
      <c r="N76" s="22">
        <f t="shared" si="55"/>
        <v>126.10049157698487</v>
      </c>
      <c r="O76" s="35">
        <f t="shared" si="55"/>
        <v>726.3419762491792</v>
      </c>
      <c r="P76" s="10">
        <f t="shared" ref="P76:P78" si="56">O76/2</f>
        <v>363.1709881245896</v>
      </c>
      <c r="Q76" s="10">
        <f t="shared" ref="Q76:Q78" si="57">-P76</f>
        <v>-363.1709881245896</v>
      </c>
      <c r="R76" s="214">
        <f t="shared" si="8"/>
        <v>-128.79817633146604</v>
      </c>
      <c r="S76" s="224">
        <f t="shared" si="15"/>
        <v>427.57007629032262</v>
      </c>
      <c r="T76" s="225">
        <f t="shared" ref="T76:T78" si="58">-S76</f>
        <v>-427.57007629032262</v>
      </c>
      <c r="U76" s="214">
        <f t="shared" si="9"/>
        <v>-18.152800315160221</v>
      </c>
      <c r="V76" s="232">
        <f t="shared" si="46"/>
        <v>372.24738828216971</v>
      </c>
      <c r="W76" s="233">
        <f t="shared" si="17"/>
        <v>-372.24738828216971</v>
      </c>
      <c r="X76" s="214">
        <f t="shared" si="10"/>
        <v>73.685071841851595</v>
      </c>
      <c r="Y76" s="228">
        <f t="shared" si="18"/>
        <v>326.3284522036638</v>
      </c>
      <c r="Z76" s="229">
        <f t="shared" si="19"/>
        <v>-326.3284522036638</v>
      </c>
      <c r="AA76" s="214">
        <f t="shared" si="11"/>
        <v>134.11037377481898</v>
      </c>
      <c r="AB76" s="264">
        <f t="shared" si="20"/>
        <v>296.11580123718011</v>
      </c>
      <c r="AC76" s="265">
        <f t="shared" si="21"/>
        <v>-296.11580123718011</v>
      </c>
      <c r="AD76" s="214">
        <f>IF($D$9="Par",Path!R76,IF($D$9="Con",Path!U76,IF($D$9="Exp",Path!X76,IF($D$9="Hyp",Path!AA76))))</f>
        <v>73.685071841851595</v>
      </c>
      <c r="AE76" s="6">
        <f>IF(B77&gt;0,K76,"")</f>
        <v>52.457413636058234</v>
      </c>
      <c r="AH76" s="2" t="str">
        <f>Panels!A54</f>
        <v>Panel I (4th inside)</v>
      </c>
      <c r="AI76" s="6">
        <f>Panels!C56</f>
        <v>57.334206743353029</v>
      </c>
      <c r="AJ76" s="6">
        <f>Panels!D56</f>
        <v>52.215736235370656</v>
      </c>
      <c r="AK76" s="6">
        <f>AI76+10*$E$21</f>
        <v>67.325500604467138</v>
      </c>
      <c r="AL76" s="6">
        <f>AJ76+10*$E$22</f>
        <v>52.632925617862057</v>
      </c>
      <c r="AM76" s="9">
        <f>IF(AK76-AI76&lt;&gt;0,(AL76-AJ76)/(AK76-AI76),"vertical")</f>
        <v>4.1755290985394045E-2</v>
      </c>
      <c r="AN76" s="9">
        <f>IF(AM76&lt;&gt;"vertical",(AL76*AI76-AJ76*AK76)/(AI76-AK76),AJ76)</f>
        <v>49.821729749385192</v>
      </c>
    </row>
    <row r="77" spans="2:42" x14ac:dyDescent="0.2">
      <c r="B77" s="5">
        <f>B74+1</f>
        <v>18</v>
      </c>
      <c r="C77" s="25">
        <f>AO77</f>
        <v>68.910100240162151</v>
      </c>
      <c r="D77" s="25">
        <f>AP77</f>
        <v>52.699091036745813</v>
      </c>
      <c r="E77" s="27"/>
      <c r="F77" s="26">
        <f>IF(TH!$H$18="x",C77,0)</f>
        <v>68.910100240162151</v>
      </c>
      <c r="G77" s="26">
        <f>IF(TH!$H$18="x",D77,0)</f>
        <v>52.699091036745813</v>
      </c>
      <c r="H77" s="26"/>
      <c r="I77" s="26"/>
      <c r="J77" s="26">
        <f>J76</f>
        <v>63.122153491757587</v>
      </c>
      <c r="K77" s="26">
        <f>K76</f>
        <v>52.457413636058234</v>
      </c>
      <c r="L77" s="32"/>
      <c r="M77" s="26">
        <f t="shared" ref="M77:O77" si="59">M76</f>
        <v>3.8327545508884882</v>
      </c>
      <c r="N77" s="26">
        <f t="shared" si="59"/>
        <v>126.10049157698487</v>
      </c>
      <c r="O77" s="33">
        <f t="shared" si="59"/>
        <v>726.3419762491792</v>
      </c>
      <c r="P77" s="10">
        <f t="shared" si="56"/>
        <v>363.1709881245896</v>
      </c>
      <c r="Q77" s="10">
        <f t="shared" si="57"/>
        <v>-363.1709881245896</v>
      </c>
      <c r="R77" s="214">
        <f t="shared" si="8"/>
        <v>-128.79817633146604</v>
      </c>
      <c r="S77" s="224">
        <f t="shared" si="15"/>
        <v>427.57007629032262</v>
      </c>
      <c r="T77" s="225">
        <f t="shared" si="58"/>
        <v>-427.57007629032262</v>
      </c>
      <c r="U77" s="214">
        <f t="shared" si="9"/>
        <v>-18.152800315160221</v>
      </c>
      <c r="V77" s="232">
        <f t="shared" si="46"/>
        <v>372.24738828216971</v>
      </c>
      <c r="W77" s="233">
        <f t="shared" si="17"/>
        <v>-372.24738828216971</v>
      </c>
      <c r="X77" s="214">
        <f t="shared" si="10"/>
        <v>73.685071841851595</v>
      </c>
      <c r="Y77" s="228">
        <f t="shared" si="18"/>
        <v>326.3284522036638</v>
      </c>
      <c r="Z77" s="229">
        <f t="shared" si="19"/>
        <v>-326.3284522036638</v>
      </c>
      <c r="AA77" s="214">
        <f t="shared" si="11"/>
        <v>134.11037377481898</v>
      </c>
      <c r="AB77" s="264">
        <f t="shared" si="20"/>
        <v>296.11580123718011</v>
      </c>
      <c r="AC77" s="265">
        <f t="shared" si="21"/>
        <v>-296.11580123718011</v>
      </c>
      <c r="AD77" s="214">
        <f>IF($D$9="Par",Path!R77,IF($D$9="Con",Path!U77,IF($D$9="Exp",Path!X77,IF($D$9="Hyp",Path!AA77))))</f>
        <v>73.685071841851595</v>
      </c>
      <c r="AE77" s="6">
        <f>IF(B77&gt;0,K77,"")</f>
        <v>52.457413636058234</v>
      </c>
      <c r="AH77" s="2" t="str">
        <f>Panels!A60</f>
        <v>Panel J (5th inside)</v>
      </c>
      <c r="AI77" s="6">
        <f>Panels!C60</f>
        <v>67.855592427602986</v>
      </c>
      <c r="AJ77" s="6">
        <f>Panels!D60</f>
        <v>65.304311223035199</v>
      </c>
      <c r="AK77" s="6">
        <f>Panels!C61</f>
        <v>71.919536260218237</v>
      </c>
      <c r="AL77" s="6">
        <f>Panels!D61</f>
        <v>16.725337957293867</v>
      </c>
      <c r="AM77" s="9">
        <f>(AL77-AJ77)/(AK77-AI77)</f>
        <v>-11.953652724201044</v>
      </c>
      <c r="AN77" s="9">
        <f>(AL77*AI77-AJ77*AK77)/(AI77-AK77)</f>
        <v>876.42649849752718</v>
      </c>
      <c r="AO77" s="6">
        <f>IF(AM76&lt;&gt;"vertical",(AN76-AN77)/(AM77-AM76),AI76)</f>
        <v>68.910100240162151</v>
      </c>
      <c r="AP77" s="6">
        <f>AO77*AM77+AN77</f>
        <v>52.699091036745813</v>
      </c>
    </row>
    <row r="78" spans="2:42" x14ac:dyDescent="0.2">
      <c r="B78" s="2"/>
      <c r="C78" s="42"/>
      <c r="D78" s="43"/>
      <c r="E78" s="43"/>
      <c r="F78" s="43"/>
      <c r="G78" s="43"/>
      <c r="H78" s="43"/>
      <c r="I78" s="43"/>
      <c r="J78" s="39">
        <f>J77</f>
        <v>63.122153491757587</v>
      </c>
      <c r="K78" s="39">
        <f>K77</f>
        <v>52.457413636058234</v>
      </c>
      <c r="L78" s="32"/>
      <c r="M78" s="39">
        <f>((H76-H73)^2+(I76-I73)^2)^0.5</f>
        <v>2.8623128667122906</v>
      </c>
      <c r="N78" s="39">
        <f>N75+M78</f>
        <v>128.96280444369717</v>
      </c>
      <c r="O78" s="33">
        <f>((C76-C77)^2+(D76-D77)^2)^0.5*Path!$F$3</f>
        <v>662.25464036529411</v>
      </c>
      <c r="P78" s="10">
        <f t="shared" si="56"/>
        <v>331.12732018264705</v>
      </c>
      <c r="Q78" s="10">
        <f t="shared" si="57"/>
        <v>-331.12732018264705</v>
      </c>
      <c r="R78" s="214">
        <f t="shared" si="8"/>
        <v>-206.57706277637669</v>
      </c>
      <c r="S78" s="224">
        <f t="shared" si="15"/>
        <v>434.4158515708354</v>
      </c>
      <c r="T78" s="225">
        <f t="shared" si="58"/>
        <v>-434.4158515708354</v>
      </c>
      <c r="U78" s="214">
        <f t="shared" si="9"/>
        <v>-94.203251937645746</v>
      </c>
      <c r="V78" s="232">
        <f t="shared" si="46"/>
        <v>378.22894615146993</v>
      </c>
      <c r="W78" s="233">
        <f t="shared" si="17"/>
        <v>-378.22894615146993</v>
      </c>
      <c r="X78" s="214">
        <f t="shared" si="10"/>
        <v>-4.5073989463162434E-4</v>
      </c>
      <c r="Y78" s="228">
        <f t="shared" si="18"/>
        <v>331.12754555259437</v>
      </c>
      <c r="Z78" s="229">
        <f t="shared" si="19"/>
        <v>-331.12754555259437</v>
      </c>
      <c r="AA78" s="214">
        <f t="shared" si="11"/>
        <v>61.939132082254446</v>
      </c>
      <c r="AB78" s="264">
        <f t="shared" si="20"/>
        <v>300.15775414151983</v>
      </c>
      <c r="AC78" s="265">
        <f t="shared" si="21"/>
        <v>-300.15775414151983</v>
      </c>
      <c r="AD78" s="214">
        <f>IF($D$9="Par",Path!R78,IF($D$9="Con",Path!U78,IF($D$9="Exp",Path!X78,IF($D$9="Hyp",Path!AA78))))</f>
        <v>-4.5073989463162434E-4</v>
      </c>
      <c r="AE78" s="6">
        <f>IF(B77&gt;0,K78,"")</f>
        <v>52.457413636058234</v>
      </c>
      <c r="AO78" s="6"/>
      <c r="AP78" s="6"/>
    </row>
    <row r="79" spans="2:42" x14ac:dyDescent="0.2">
      <c r="B79" s="2"/>
      <c r="C79" s="25">
        <f>C82</f>
        <v>71.919536260218237</v>
      </c>
      <c r="D79" s="25">
        <f>D82</f>
        <v>16.725337957293867</v>
      </c>
      <c r="E79" s="27"/>
      <c r="F79" s="22">
        <f>IF(TH!$H$18="x",C79,0)</f>
        <v>71.919536260218237</v>
      </c>
      <c r="G79" s="22">
        <f>IF(TH!$H$18="x",D79,0)</f>
        <v>16.725337957293867</v>
      </c>
      <c r="H79" s="22">
        <f>SUM(C79:C80)/2</f>
        <v>64.626871501785629</v>
      </c>
      <c r="I79" s="22">
        <f>SUM(D79:D80)/2</f>
        <v>16.420830618246576</v>
      </c>
      <c r="J79" s="22">
        <f>IF(TH!$H$17="x",H79,0)</f>
        <v>64.626871501785629</v>
      </c>
      <c r="K79" s="26">
        <f>IF(TH!$H$17="x",I79,0)</f>
        <v>16.420830618246576</v>
      </c>
      <c r="L79" s="34"/>
      <c r="M79" s="22">
        <f t="shared" ref="M79:O79" si="60">M78</f>
        <v>2.8623128667122906</v>
      </c>
      <c r="N79" s="22">
        <f t="shared" si="60"/>
        <v>128.96280444369717</v>
      </c>
      <c r="O79" s="35">
        <f t="shared" si="60"/>
        <v>662.25464036529411</v>
      </c>
      <c r="P79" s="10">
        <f t="shared" ref="P79:P93" si="61">O79/2</f>
        <v>331.12732018264705</v>
      </c>
      <c r="Q79" s="10">
        <f t="shared" ref="Q79:Q93" si="62">-P79</f>
        <v>-331.12732018264705</v>
      </c>
      <c r="R79" s="214">
        <f t="shared" si="8"/>
        <v>-206.57706277637669</v>
      </c>
      <c r="S79" s="224">
        <f t="shared" si="15"/>
        <v>434.4158515708354</v>
      </c>
      <c r="T79" s="225">
        <f t="shared" ref="T79:T93" si="63">-S79</f>
        <v>-434.4158515708354</v>
      </c>
      <c r="U79" s="214">
        <f t="shared" si="9"/>
        <v>-94.203251937645746</v>
      </c>
      <c r="V79" s="232">
        <f t="shared" si="46"/>
        <v>378.22894615146993</v>
      </c>
      <c r="W79" s="233">
        <f t="shared" si="17"/>
        <v>-378.22894615146993</v>
      </c>
      <c r="X79" s="214">
        <f t="shared" si="10"/>
        <v>-4.5073989463162434E-4</v>
      </c>
      <c r="Y79" s="228">
        <f t="shared" si="18"/>
        <v>331.12754555259437</v>
      </c>
      <c r="Z79" s="229">
        <f t="shared" si="19"/>
        <v>-331.12754555259437</v>
      </c>
      <c r="AA79" s="214">
        <f t="shared" si="11"/>
        <v>61.939132082254446</v>
      </c>
      <c r="AB79" s="264">
        <f t="shared" si="20"/>
        <v>300.15775414151983</v>
      </c>
      <c r="AC79" s="265">
        <f t="shared" si="21"/>
        <v>-300.15775414151983</v>
      </c>
      <c r="AD79" s="214">
        <f>IF($D$9="Par",Path!R79,IF($D$9="Con",Path!U79,IF($D$9="Exp",Path!X79,IF($D$9="Hyp",Path!AA79))))</f>
        <v>-4.5073989463162434E-4</v>
      </c>
      <c r="AE79" s="6">
        <f>IF(B80&gt;0,K79,"")</f>
        <v>16.420830618246576</v>
      </c>
      <c r="AH79" s="2" t="str">
        <f>AH52</f>
        <v>Panel H (3rd inside)</v>
      </c>
      <c r="AI79" s="6">
        <f>Panels!C56</f>
        <v>57.334206743353029</v>
      </c>
      <c r="AJ79" s="6">
        <f>Panels!D56</f>
        <v>52.215736235370656</v>
      </c>
      <c r="AK79" s="6">
        <f>Panels!C57</f>
        <v>57.334206743353029</v>
      </c>
      <c r="AL79" s="6">
        <f>Panels!D57</f>
        <v>1.8999999999999986</v>
      </c>
      <c r="AM79" s="9" t="str">
        <f>IF(AK79-AI79&lt;&gt;0,(AL79-AJ79)/(AK79-AI79),"vertical")</f>
        <v>vertical</v>
      </c>
      <c r="AN79" s="9">
        <f>IF(AM79&lt;&gt;"vertical",(AL79*AI79-AJ79*AK79)/(AI79-AK79),AJ79)</f>
        <v>52.215736235370656</v>
      </c>
    </row>
    <row r="80" spans="2:42" x14ac:dyDescent="0.2">
      <c r="B80" s="5">
        <f>B77+1</f>
        <v>19</v>
      </c>
      <c r="C80" s="25">
        <f>AO80</f>
        <v>57.334206743353029</v>
      </c>
      <c r="D80" s="25">
        <f>AP80</f>
        <v>16.116323279199289</v>
      </c>
      <c r="E80" s="27"/>
      <c r="F80" s="26">
        <f>IF(TH!$H$18="x",C80,0)</f>
        <v>57.334206743353029</v>
      </c>
      <c r="G80" s="26">
        <f>IF(TH!$H$18="x",D80,0)</f>
        <v>16.116323279199289</v>
      </c>
      <c r="H80" s="26"/>
      <c r="I80" s="26"/>
      <c r="J80" s="26">
        <f>J79</f>
        <v>64.626871501785629</v>
      </c>
      <c r="K80" s="26">
        <f>K79</f>
        <v>16.420830618246576</v>
      </c>
      <c r="L80" s="32"/>
      <c r="M80" s="26">
        <f t="shared" ref="M80:O80" si="64">M79</f>
        <v>2.8623128667122906</v>
      </c>
      <c r="N80" s="26">
        <f t="shared" si="64"/>
        <v>128.96280444369717</v>
      </c>
      <c r="O80" s="33">
        <f t="shared" si="64"/>
        <v>662.25464036529411</v>
      </c>
      <c r="P80" s="10">
        <f t="shared" si="61"/>
        <v>331.12732018264705</v>
      </c>
      <c r="Q80" s="10">
        <f t="shared" si="62"/>
        <v>-331.12732018264705</v>
      </c>
      <c r="R80" s="214">
        <f t="shared" si="8"/>
        <v>-206.57706277637669</v>
      </c>
      <c r="S80" s="224">
        <f t="shared" si="15"/>
        <v>434.4158515708354</v>
      </c>
      <c r="T80" s="225">
        <f t="shared" si="63"/>
        <v>-434.4158515708354</v>
      </c>
      <c r="U80" s="214">
        <f t="shared" si="9"/>
        <v>-94.203251937645746</v>
      </c>
      <c r="V80" s="232">
        <f t="shared" si="46"/>
        <v>378.22894615146993</v>
      </c>
      <c r="W80" s="233">
        <f t="shared" si="17"/>
        <v>-378.22894615146993</v>
      </c>
      <c r="X80" s="214">
        <f t="shared" si="10"/>
        <v>-4.5073989463162434E-4</v>
      </c>
      <c r="Y80" s="228">
        <f t="shared" si="18"/>
        <v>331.12754555259437</v>
      </c>
      <c r="Z80" s="229">
        <f t="shared" si="19"/>
        <v>-331.12754555259437</v>
      </c>
      <c r="AA80" s="214">
        <f t="shared" si="11"/>
        <v>61.939132082254446</v>
      </c>
      <c r="AB80" s="264">
        <f t="shared" si="20"/>
        <v>300.15775414151983</v>
      </c>
      <c r="AC80" s="265">
        <f t="shared" si="21"/>
        <v>-300.15775414151983</v>
      </c>
      <c r="AD80" s="214">
        <f>IF($D$9="Par",Path!R80,IF($D$9="Con",Path!U80,IF($D$9="Exp",Path!X80,IF($D$9="Hyp",Path!AA80))))</f>
        <v>-4.5073989463162434E-4</v>
      </c>
      <c r="AE80" s="6">
        <f>IF(B80&gt;0,K80,"")</f>
        <v>16.420830618246576</v>
      </c>
      <c r="AH80" s="2" t="s">
        <v>69</v>
      </c>
      <c r="AI80" s="6">
        <f>C79</f>
        <v>71.919536260218237</v>
      </c>
      <c r="AJ80" s="6">
        <f>D79</f>
        <v>16.725337957293867</v>
      </c>
      <c r="AK80" s="6">
        <f>AI80+10*$E$21</f>
        <v>81.910830121332339</v>
      </c>
      <c r="AL80" s="6">
        <f>AJ80+10*$E$22</f>
        <v>17.142527339785268</v>
      </c>
      <c r="AM80" s="9">
        <f>(AL80-AJ80)/(AK80-AI80)</f>
        <v>4.1755290985394072E-2</v>
      </c>
      <c r="AN80" s="9">
        <f>(AL80*AI80-AJ80*AK80)/(AI80-AK80)</f>
        <v>13.722316793213841</v>
      </c>
      <c r="AO80" s="6">
        <f>IF(AM79&lt;&gt;"vertical",(AN79-AN80)/(AM80-AM79),AI79)</f>
        <v>57.334206743353029</v>
      </c>
      <c r="AP80" s="6">
        <f>AO80*AM80+AN80</f>
        <v>16.116323279199289</v>
      </c>
    </row>
    <row r="81" spans="2:42" x14ac:dyDescent="0.2">
      <c r="B81" s="2"/>
      <c r="C81" s="41"/>
      <c r="D81" s="27"/>
      <c r="E81" s="27"/>
      <c r="F81" s="43"/>
      <c r="G81" s="43"/>
      <c r="H81" s="43"/>
      <c r="I81" s="43"/>
      <c r="J81" s="39">
        <f>J80</f>
        <v>64.626871501785629</v>
      </c>
      <c r="K81" s="39">
        <f>K80</f>
        <v>16.420830618246576</v>
      </c>
      <c r="L81" s="32"/>
      <c r="M81" s="39">
        <f>((H79-H76)^2+(I79-I76)^2)^0.5</f>
        <v>36.06798430588178</v>
      </c>
      <c r="N81" s="39">
        <f>N78+M81</f>
        <v>165.03078874957896</v>
      </c>
      <c r="O81" s="33">
        <f>((C79-C80)^2+(D79-D80)^2)^0.5*Path!$F$3</f>
        <v>834.42389621703273</v>
      </c>
      <c r="P81" s="10">
        <f t="shared" si="61"/>
        <v>417.21194810851637</v>
      </c>
      <c r="Q81" s="10">
        <f t="shared" si="62"/>
        <v>-417.21194810851637</v>
      </c>
      <c r="R81" s="214">
        <f t="shared" si="8"/>
        <v>-206.93493926621136</v>
      </c>
      <c r="S81" s="224">
        <f t="shared" si="15"/>
        <v>520.67941774162205</v>
      </c>
      <c r="T81" s="225">
        <f t="shared" si="63"/>
        <v>-520.67941774162205</v>
      </c>
      <c r="U81" s="214">
        <f t="shared" si="9"/>
        <v>-80.952108699345558</v>
      </c>
      <c r="V81" s="232">
        <f t="shared" si="46"/>
        <v>457.68800245818915</v>
      </c>
      <c r="W81" s="233">
        <f t="shared" si="17"/>
        <v>-457.68800245818915</v>
      </c>
      <c r="X81" s="214">
        <f t="shared" si="10"/>
        <v>38.410733020681732</v>
      </c>
      <c r="Y81" s="228">
        <f t="shared" si="18"/>
        <v>398.0065815981755</v>
      </c>
      <c r="Z81" s="229">
        <f t="shared" si="19"/>
        <v>-398.0065815981755</v>
      </c>
      <c r="AA81" s="214">
        <f t="shared" si="11"/>
        <v>116.69934643788633</v>
      </c>
      <c r="AB81" s="264">
        <f t="shared" si="20"/>
        <v>358.8622748895732</v>
      </c>
      <c r="AC81" s="265">
        <f t="shared" si="21"/>
        <v>-358.8622748895732</v>
      </c>
      <c r="AD81" s="214">
        <f>IF($D$9="Par",Path!R81,IF($D$9="Con",Path!U81,IF($D$9="Exp",Path!X81,IF($D$9="Hyp",Path!AA81))))</f>
        <v>38.410733020681732</v>
      </c>
      <c r="AE81" s="6">
        <f>IF(B80&gt;0,K81,"")</f>
        <v>16.420830618246576</v>
      </c>
      <c r="AO81" s="6"/>
      <c r="AP81" s="6"/>
    </row>
    <row r="82" spans="2:42" x14ac:dyDescent="0.2">
      <c r="B82" s="2"/>
      <c r="C82" s="21">
        <f>C88</f>
        <v>71.919536260218237</v>
      </c>
      <c r="D82" s="21">
        <f>D88</f>
        <v>16.725337957293867</v>
      </c>
      <c r="E82" s="23"/>
      <c r="F82" s="22">
        <f>IF(TH!$H$18="x",C82,0)</f>
        <v>71.919536260218237</v>
      </c>
      <c r="G82" s="22">
        <f>IF(TH!$H$18="x",D82,0)</f>
        <v>16.725337957293867</v>
      </c>
      <c r="H82" s="22">
        <f>SUM(C82:C83)/2</f>
        <v>64.626871501785629</v>
      </c>
      <c r="I82" s="22">
        <f>SUM(D82:D83)/2</f>
        <v>12.866749798446754</v>
      </c>
      <c r="J82" s="22">
        <f>IF(TH!$H$17="x",H82,0)</f>
        <v>64.626871501785629</v>
      </c>
      <c r="K82" s="26">
        <f>IF(TH!$H$17="x",I82,0)</f>
        <v>12.866749798446754</v>
      </c>
      <c r="L82" s="34"/>
      <c r="M82" s="22">
        <f t="shared" ref="M82:O82" si="65">M81</f>
        <v>36.06798430588178</v>
      </c>
      <c r="N82" s="22">
        <f t="shared" si="65"/>
        <v>165.03078874957896</v>
      </c>
      <c r="O82" s="35">
        <f t="shared" si="65"/>
        <v>834.42389621703273</v>
      </c>
      <c r="P82" s="10">
        <f t="shared" si="61"/>
        <v>417.21194810851637</v>
      </c>
      <c r="Q82" s="10">
        <f t="shared" si="62"/>
        <v>-417.21194810851637</v>
      </c>
      <c r="R82" s="214">
        <f t="shared" si="8"/>
        <v>-206.93493926621136</v>
      </c>
      <c r="S82" s="224">
        <f t="shared" si="15"/>
        <v>520.67941774162205</v>
      </c>
      <c r="T82" s="225">
        <f t="shared" si="63"/>
        <v>-520.67941774162205</v>
      </c>
      <c r="U82" s="214">
        <f t="shared" si="9"/>
        <v>-80.952108699345558</v>
      </c>
      <c r="V82" s="232">
        <f t="shared" si="46"/>
        <v>457.68800245818915</v>
      </c>
      <c r="W82" s="233">
        <f t="shared" si="17"/>
        <v>-457.68800245818915</v>
      </c>
      <c r="X82" s="214">
        <f t="shared" si="10"/>
        <v>38.410733020681732</v>
      </c>
      <c r="Y82" s="228">
        <f t="shared" si="18"/>
        <v>398.0065815981755</v>
      </c>
      <c r="Z82" s="229">
        <f t="shared" si="19"/>
        <v>-398.0065815981755</v>
      </c>
      <c r="AA82" s="214">
        <f t="shared" si="11"/>
        <v>116.69934643788633</v>
      </c>
      <c r="AB82" s="264">
        <f t="shared" si="20"/>
        <v>358.8622748895732</v>
      </c>
      <c r="AC82" s="265">
        <f t="shared" si="21"/>
        <v>-358.8622748895732</v>
      </c>
      <c r="AD82" s="214">
        <f>IF($D$9="Par",Path!R82,IF($D$9="Con",Path!U82,IF($D$9="Exp",Path!X82,IF($D$9="Hyp",Path!AA82))))</f>
        <v>38.410733020681732</v>
      </c>
      <c r="AE82" s="6">
        <f>IF(B83&gt;0,K82,"")</f>
        <v>12.866749798446754</v>
      </c>
      <c r="AO82" s="6"/>
      <c r="AP82" s="6"/>
    </row>
    <row r="83" spans="2:42" x14ac:dyDescent="0.2">
      <c r="B83" s="5">
        <f>B80+1</f>
        <v>20</v>
      </c>
      <c r="C83" s="25">
        <f>(C80+Panels!C57)/2</f>
        <v>57.334206743353029</v>
      </c>
      <c r="D83" s="25">
        <f>(D80+Panels!D57)/2</f>
        <v>9.0081616395996438</v>
      </c>
      <c r="E83" s="27"/>
      <c r="F83" s="26">
        <f>IF(TH!$H$18="x",C83,0)</f>
        <v>57.334206743353029</v>
      </c>
      <c r="G83" s="26">
        <f>IF(TH!$H$18="x",D83,0)</f>
        <v>9.0081616395996438</v>
      </c>
      <c r="H83" s="26"/>
      <c r="I83" s="26"/>
      <c r="J83" s="26">
        <f>J82</f>
        <v>64.626871501785629</v>
      </c>
      <c r="K83" s="26">
        <f>K82</f>
        <v>12.866749798446754</v>
      </c>
      <c r="L83" s="32"/>
      <c r="M83" s="26">
        <f t="shared" ref="M83:O83" si="66">M82</f>
        <v>36.06798430588178</v>
      </c>
      <c r="N83" s="26">
        <f t="shared" si="66"/>
        <v>165.03078874957896</v>
      </c>
      <c r="O83" s="33">
        <f t="shared" si="66"/>
        <v>834.42389621703273</v>
      </c>
      <c r="P83" s="10">
        <f t="shared" si="61"/>
        <v>417.21194810851637</v>
      </c>
      <c r="Q83" s="10">
        <f t="shared" si="62"/>
        <v>-417.21194810851637</v>
      </c>
      <c r="R83" s="214">
        <f t="shared" si="8"/>
        <v>-206.93493926621136</v>
      </c>
      <c r="S83" s="224">
        <f t="shared" si="15"/>
        <v>520.67941774162205</v>
      </c>
      <c r="T83" s="225">
        <f t="shared" si="63"/>
        <v>-520.67941774162205</v>
      </c>
      <c r="U83" s="214">
        <f t="shared" si="9"/>
        <v>-80.952108699345558</v>
      </c>
      <c r="V83" s="232">
        <f t="shared" si="46"/>
        <v>457.68800245818915</v>
      </c>
      <c r="W83" s="233">
        <f t="shared" si="17"/>
        <v>-457.68800245818915</v>
      </c>
      <c r="X83" s="214">
        <f t="shared" si="10"/>
        <v>38.410733020681732</v>
      </c>
      <c r="Y83" s="228">
        <f t="shared" si="18"/>
        <v>398.0065815981755</v>
      </c>
      <c r="Z83" s="229">
        <f t="shared" si="19"/>
        <v>-398.0065815981755</v>
      </c>
      <c r="AA83" s="214">
        <f t="shared" si="11"/>
        <v>116.69934643788633</v>
      </c>
      <c r="AB83" s="264">
        <f t="shared" si="20"/>
        <v>358.8622748895732</v>
      </c>
      <c r="AC83" s="265">
        <f t="shared" si="21"/>
        <v>-358.8622748895732</v>
      </c>
      <c r="AD83" s="214">
        <f>IF($D$9="Par",Path!R83,IF($D$9="Con",Path!U83,IF($D$9="Exp",Path!X83,IF($D$9="Hyp",Path!AA83))))</f>
        <v>38.410733020681732</v>
      </c>
      <c r="AE83" s="6">
        <f>IF(B83&gt;0,K83,"")</f>
        <v>12.866749798446754</v>
      </c>
      <c r="AO83" s="6"/>
      <c r="AP83" s="6"/>
    </row>
    <row r="84" spans="2:42" x14ac:dyDescent="0.2">
      <c r="B84" s="2"/>
      <c r="C84" s="36"/>
      <c r="D84" s="37"/>
      <c r="E84" s="37"/>
      <c r="F84" s="43"/>
      <c r="G84" s="43"/>
      <c r="H84" s="43"/>
      <c r="I84" s="43"/>
      <c r="J84" s="39">
        <f>J83</f>
        <v>64.626871501785629</v>
      </c>
      <c r="K84" s="39">
        <f>K83</f>
        <v>12.866749798446754</v>
      </c>
      <c r="L84" s="32"/>
      <c r="M84" s="39">
        <f>((H82-H79)^2+(I82-I79)^2)^0.5</f>
        <v>3.5540808197998217</v>
      </c>
      <c r="N84" s="39">
        <f>N81+M84</f>
        <v>168.58486956937878</v>
      </c>
      <c r="O84" s="33">
        <f>((C82-C83)^2+(D82-D83)^2)^0.5*Path!$F$3</f>
        <v>943.20347566162809</v>
      </c>
      <c r="P84" s="10">
        <f t="shared" si="61"/>
        <v>471.60173783081405</v>
      </c>
      <c r="Q84" s="10">
        <f t="shared" si="62"/>
        <v>-471.60173783081405</v>
      </c>
      <c r="R84" s="214">
        <f t="shared" si="8"/>
        <v>-115.15590431420787</v>
      </c>
      <c r="S84" s="224">
        <f t="shared" si="15"/>
        <v>529.17968998791798</v>
      </c>
      <c r="T84" s="225">
        <f t="shared" si="63"/>
        <v>-529.17968998791798</v>
      </c>
      <c r="U84" s="214">
        <f t="shared" si="9"/>
        <v>11.348475236743866</v>
      </c>
      <c r="V84" s="232">
        <f t="shared" si="46"/>
        <v>465.92750021244211</v>
      </c>
      <c r="W84" s="233">
        <f t="shared" si="17"/>
        <v>-465.92750021244211</v>
      </c>
      <c r="X84" s="214">
        <f t="shared" si="10"/>
        <v>132.62891799998681</v>
      </c>
      <c r="Y84" s="228">
        <f t="shared" si="18"/>
        <v>405.28727883082064</v>
      </c>
      <c r="Z84" s="229">
        <f t="shared" si="19"/>
        <v>-405.28727883082064</v>
      </c>
      <c r="AA84" s="214">
        <f t="shared" si="11"/>
        <v>212.2013843981656</v>
      </c>
      <c r="AB84" s="264">
        <f t="shared" si="20"/>
        <v>365.50104563173124</v>
      </c>
      <c r="AC84" s="265">
        <f t="shared" si="21"/>
        <v>-365.50104563173124</v>
      </c>
      <c r="AD84" s="214">
        <f>IF($D$9="Par",Path!R84,IF($D$9="Con",Path!U84,IF($D$9="Exp",Path!X84,IF($D$9="Hyp",Path!AA84))))</f>
        <v>132.62891799998681</v>
      </c>
      <c r="AE84" s="6">
        <f>IF(B83&gt;0,K84,"")</f>
        <v>12.866749798446754</v>
      </c>
      <c r="AO84" s="6"/>
      <c r="AP84" s="6"/>
    </row>
    <row r="85" spans="2:42" x14ac:dyDescent="0.2">
      <c r="B85" s="2"/>
      <c r="C85" s="21">
        <f>C88</f>
        <v>71.919536260218237</v>
      </c>
      <c r="D85" s="21">
        <f>D88</f>
        <v>16.725337957293867</v>
      </c>
      <c r="E85" s="23"/>
      <c r="F85" s="22">
        <f>IF(TH!$H$18="x",C85,0)</f>
        <v>71.919536260218237</v>
      </c>
      <c r="G85" s="22">
        <f>IF(TH!$H$18="x",D85,0)</f>
        <v>16.725337957293867</v>
      </c>
      <c r="H85" s="22">
        <f>SUM(C85:C86)/2</f>
        <v>68.427962956092841</v>
      </c>
      <c r="I85" s="22">
        <f>SUM(D85:D86)/2</f>
        <v>9.3126689786469328</v>
      </c>
      <c r="J85" s="22">
        <f>IF(TH!$H$17="x",H85,0)</f>
        <v>68.427962956092841</v>
      </c>
      <c r="K85" s="26">
        <f>IF(TH!$H$17="x",I85,0)</f>
        <v>9.3126689786469328</v>
      </c>
      <c r="L85" s="34"/>
      <c r="M85" s="22">
        <f t="shared" ref="M85:O85" si="67">M84</f>
        <v>3.5540808197998217</v>
      </c>
      <c r="N85" s="22">
        <f t="shared" si="67"/>
        <v>168.58486956937878</v>
      </c>
      <c r="O85" s="35">
        <f t="shared" si="67"/>
        <v>943.20347566162809</v>
      </c>
      <c r="P85" s="10">
        <f t="shared" si="61"/>
        <v>471.60173783081405</v>
      </c>
      <c r="Q85" s="10">
        <f t="shared" si="62"/>
        <v>-471.60173783081405</v>
      </c>
      <c r="R85" s="214">
        <f t="shared" si="8"/>
        <v>-115.15590431420787</v>
      </c>
      <c r="S85" s="224">
        <f t="shared" si="15"/>
        <v>529.17968998791798</v>
      </c>
      <c r="T85" s="225">
        <f t="shared" si="63"/>
        <v>-529.17968998791798</v>
      </c>
      <c r="U85" s="214">
        <f t="shared" si="9"/>
        <v>11.348475236743866</v>
      </c>
      <c r="V85" s="232">
        <f t="shared" si="46"/>
        <v>465.92750021244211</v>
      </c>
      <c r="W85" s="233">
        <f t="shared" si="17"/>
        <v>-465.92750021244211</v>
      </c>
      <c r="X85" s="214">
        <f t="shared" si="10"/>
        <v>132.62891799998681</v>
      </c>
      <c r="Y85" s="228">
        <f t="shared" si="18"/>
        <v>405.28727883082064</v>
      </c>
      <c r="Z85" s="229">
        <f t="shared" si="19"/>
        <v>-405.28727883082064</v>
      </c>
      <c r="AA85" s="214">
        <f t="shared" si="11"/>
        <v>212.2013843981656</v>
      </c>
      <c r="AB85" s="264">
        <f t="shared" si="20"/>
        <v>365.50104563173124</v>
      </c>
      <c r="AC85" s="265">
        <f t="shared" si="21"/>
        <v>-365.50104563173124</v>
      </c>
      <c r="AD85" s="214">
        <f>IF($D$9="Par",Path!R85,IF($D$9="Con",Path!U85,IF($D$9="Exp",Path!X85,IF($D$9="Hyp",Path!AA85))))</f>
        <v>132.62891799998681</v>
      </c>
      <c r="AE85" s="6">
        <f>IF(B86&gt;0,K85,"")</f>
        <v>9.3126689786469328</v>
      </c>
      <c r="AO85" s="6"/>
      <c r="AP85" s="6"/>
    </row>
    <row r="86" spans="2:42" x14ac:dyDescent="0.2">
      <c r="B86" s="5">
        <f>B83+1</f>
        <v>21</v>
      </c>
      <c r="C86" s="25">
        <f>(C89+Panels!C57)/2</f>
        <v>64.936389651967446</v>
      </c>
      <c r="D86" s="25">
        <f>(D89+Panels!D57)/2</f>
        <v>1.8999999999999986</v>
      </c>
      <c r="E86" s="27"/>
      <c r="F86" s="26">
        <f>IF(TH!$H$18="x",C86,0)</f>
        <v>64.936389651967446</v>
      </c>
      <c r="G86" s="26">
        <f>IF(TH!$H$18="x",D86,0)</f>
        <v>1.8999999999999986</v>
      </c>
      <c r="H86" s="26"/>
      <c r="I86" s="26"/>
      <c r="J86" s="26">
        <f>J85</f>
        <v>68.427962956092841</v>
      </c>
      <c r="K86" s="26">
        <f>K85</f>
        <v>9.3126689786469328</v>
      </c>
      <c r="L86" s="32"/>
      <c r="M86" s="26">
        <f t="shared" ref="M86:O86" si="68">M85</f>
        <v>3.5540808197998217</v>
      </c>
      <c r="N86" s="26">
        <f t="shared" si="68"/>
        <v>168.58486956937878</v>
      </c>
      <c r="O86" s="33">
        <f t="shared" si="68"/>
        <v>943.20347566162809</v>
      </c>
      <c r="P86" s="10">
        <f t="shared" si="61"/>
        <v>471.60173783081405</v>
      </c>
      <c r="Q86" s="10">
        <f t="shared" si="62"/>
        <v>-471.60173783081405</v>
      </c>
      <c r="R86" s="214">
        <f t="shared" si="8"/>
        <v>-115.15590431420787</v>
      </c>
      <c r="S86" s="224">
        <f t="shared" si="15"/>
        <v>529.17968998791798</v>
      </c>
      <c r="T86" s="225">
        <f t="shared" si="63"/>
        <v>-529.17968998791798</v>
      </c>
      <c r="U86" s="214">
        <f t="shared" si="9"/>
        <v>11.348475236743866</v>
      </c>
      <c r="V86" s="232">
        <f t="shared" si="46"/>
        <v>465.92750021244211</v>
      </c>
      <c r="W86" s="233">
        <f t="shared" si="17"/>
        <v>-465.92750021244211</v>
      </c>
      <c r="X86" s="214">
        <f t="shared" si="10"/>
        <v>132.62891799998681</v>
      </c>
      <c r="Y86" s="228">
        <f t="shared" si="18"/>
        <v>405.28727883082064</v>
      </c>
      <c r="Z86" s="229">
        <f t="shared" si="19"/>
        <v>-405.28727883082064</v>
      </c>
      <c r="AA86" s="214">
        <f t="shared" si="11"/>
        <v>212.2013843981656</v>
      </c>
      <c r="AB86" s="264">
        <f t="shared" si="20"/>
        <v>365.50104563173124</v>
      </c>
      <c r="AC86" s="265">
        <f t="shared" si="21"/>
        <v>-365.50104563173124</v>
      </c>
      <c r="AD86" s="214">
        <f>IF($D$9="Par",Path!R86,IF($D$9="Con",Path!U86,IF($D$9="Exp",Path!X86,IF($D$9="Hyp",Path!AA86))))</f>
        <v>132.62891799998681</v>
      </c>
      <c r="AE86" s="6">
        <f>IF(B86&gt;0,K86,"")</f>
        <v>9.3126689786469328</v>
      </c>
      <c r="AO86" s="6"/>
      <c r="AP86" s="6"/>
    </row>
    <row r="87" spans="2:42" x14ac:dyDescent="0.2">
      <c r="B87" s="2"/>
      <c r="C87" s="36"/>
      <c r="D87" s="37"/>
      <c r="E87" s="37"/>
      <c r="F87" s="43"/>
      <c r="G87" s="43"/>
      <c r="H87" s="43"/>
      <c r="I87" s="43"/>
      <c r="J87" s="39">
        <f>J86</f>
        <v>68.427962956092841</v>
      </c>
      <c r="K87" s="39">
        <f>K86</f>
        <v>9.3126689786469328</v>
      </c>
      <c r="L87" s="32"/>
      <c r="M87" s="39">
        <f>((H85-H82)^2+(I85-I82)^2)^0.5</f>
        <v>5.2038242396987515</v>
      </c>
      <c r="N87" s="39">
        <f>N84+M87</f>
        <v>173.78869380907753</v>
      </c>
      <c r="O87" s="33">
        <f>((C85-C86)^2+(D85-D86)^2)^0.5*Path!$F$3</f>
        <v>936.71791630401503</v>
      </c>
      <c r="P87" s="10">
        <f t="shared" si="61"/>
        <v>468.35895815200752</v>
      </c>
      <c r="Q87" s="10">
        <f t="shared" si="62"/>
        <v>-468.35895815200752</v>
      </c>
      <c r="R87" s="214">
        <f t="shared" si="8"/>
        <v>-146.53336962561116</v>
      </c>
      <c r="S87" s="224">
        <f t="shared" si="15"/>
        <v>541.6256429648131</v>
      </c>
      <c r="T87" s="225">
        <f t="shared" si="63"/>
        <v>-541.6256429648131</v>
      </c>
      <c r="U87" s="214">
        <f t="shared" si="9"/>
        <v>-19.530555318143911</v>
      </c>
      <c r="V87" s="232">
        <f t="shared" si="46"/>
        <v>478.12423581107947</v>
      </c>
      <c r="W87" s="233">
        <f t="shared" si="17"/>
        <v>-478.12423581107947</v>
      </c>
      <c r="X87" s="214">
        <f t="shared" si="10"/>
        <v>104.34092376609283</v>
      </c>
      <c r="Y87" s="228">
        <f t="shared" si="18"/>
        <v>416.1884962689611</v>
      </c>
      <c r="Z87" s="229">
        <f t="shared" si="19"/>
        <v>-416.1884962689611</v>
      </c>
      <c r="AA87" s="214">
        <f t="shared" si="11"/>
        <v>185.66674076080733</v>
      </c>
      <c r="AB87" s="264">
        <f t="shared" si="20"/>
        <v>375.52558777160385</v>
      </c>
      <c r="AC87" s="265">
        <f t="shared" si="21"/>
        <v>-375.52558777160385</v>
      </c>
      <c r="AD87" s="214">
        <f>IF($D$9="Par",Path!R87,IF($D$9="Con",Path!U87,IF($D$9="Exp",Path!X87,IF($D$9="Hyp",Path!AA87))))</f>
        <v>104.34092376609283</v>
      </c>
      <c r="AE87" s="6">
        <f>IF(B86&gt;0,K87,"")</f>
        <v>9.3126689786469328</v>
      </c>
      <c r="AO87" s="6"/>
      <c r="AP87" s="6"/>
    </row>
    <row r="88" spans="2:42" x14ac:dyDescent="0.2">
      <c r="B88" s="2"/>
      <c r="C88" s="21">
        <f>Panels!C61</f>
        <v>71.919536260218237</v>
      </c>
      <c r="D88" s="21">
        <f>Panels!D61</f>
        <v>16.725337957293867</v>
      </c>
      <c r="E88" s="23"/>
      <c r="F88" s="22">
        <f>IF(TH!$H$18="x",C88,0)</f>
        <v>71.919536260218237</v>
      </c>
      <c r="G88" s="22">
        <f>IF(TH!$H$18="x",D88,0)</f>
        <v>16.725337957293867</v>
      </c>
      <c r="H88" s="22">
        <f>SUM(C88:C89)/2</f>
        <v>72.229054410400039</v>
      </c>
      <c r="I88" s="22">
        <f>SUM(D88:D89)/2</f>
        <v>9.3126689786469328</v>
      </c>
      <c r="J88" s="22">
        <f>IF(TH!$H$17="x",H88,0)</f>
        <v>72.229054410400039</v>
      </c>
      <c r="K88" s="26">
        <f>IF(TH!$H$17="x",I88,0)</f>
        <v>9.3126689786469328</v>
      </c>
      <c r="L88" s="34"/>
      <c r="M88" s="22">
        <f t="shared" ref="M88:O88" si="69">M87</f>
        <v>5.2038242396987515</v>
      </c>
      <c r="N88" s="22">
        <f t="shared" si="69"/>
        <v>173.78869380907753</v>
      </c>
      <c r="O88" s="35">
        <f t="shared" si="69"/>
        <v>936.71791630401503</v>
      </c>
      <c r="P88" s="10">
        <f t="shared" si="61"/>
        <v>468.35895815200752</v>
      </c>
      <c r="Q88" s="10">
        <f t="shared" si="62"/>
        <v>-468.35895815200752</v>
      </c>
      <c r="R88" s="214">
        <f t="shared" si="8"/>
        <v>-146.53336962561116</v>
      </c>
      <c r="S88" s="224">
        <f t="shared" si="15"/>
        <v>541.6256429648131</v>
      </c>
      <c r="T88" s="225">
        <f t="shared" si="63"/>
        <v>-541.6256429648131</v>
      </c>
      <c r="U88" s="214">
        <f t="shared" si="9"/>
        <v>-19.530555318143911</v>
      </c>
      <c r="V88" s="232">
        <f t="shared" si="46"/>
        <v>478.12423581107947</v>
      </c>
      <c r="W88" s="233">
        <f t="shared" si="17"/>
        <v>-478.12423581107947</v>
      </c>
      <c r="X88" s="214">
        <f t="shared" si="10"/>
        <v>104.34092376609283</v>
      </c>
      <c r="Y88" s="228">
        <f t="shared" si="18"/>
        <v>416.1884962689611</v>
      </c>
      <c r="Z88" s="229">
        <f t="shared" si="19"/>
        <v>-416.1884962689611</v>
      </c>
      <c r="AA88" s="214">
        <f t="shared" si="11"/>
        <v>185.66674076080733</v>
      </c>
      <c r="AB88" s="264">
        <f t="shared" si="20"/>
        <v>375.52558777160385</v>
      </c>
      <c r="AC88" s="265">
        <f t="shared" si="21"/>
        <v>-375.52558777160385</v>
      </c>
      <c r="AD88" s="214">
        <f>IF($D$9="Par",Path!R88,IF($D$9="Con",Path!U88,IF($D$9="Exp",Path!X88,IF($D$9="Hyp",Path!AA88))))</f>
        <v>104.34092376609283</v>
      </c>
      <c r="AE88" s="6">
        <f>IF(B89&gt;0,K88,"")</f>
        <v>9.3126689786469328</v>
      </c>
      <c r="AO88" s="6"/>
      <c r="AP88" s="6"/>
    </row>
    <row r="89" spans="2:42" x14ac:dyDescent="0.2">
      <c r="B89" s="5">
        <f>B86+1</f>
        <v>22</v>
      </c>
      <c r="C89" s="25">
        <f>C88+(D88-D89)*E$23</f>
        <v>72.538572560581855</v>
      </c>
      <c r="D89" s="26">
        <f>Panels!$D$57</f>
        <v>1.8999999999999986</v>
      </c>
      <c r="E89" s="27"/>
      <c r="F89" s="26">
        <f>IF(TH!$H$18="x",C89,0)</f>
        <v>72.538572560581855</v>
      </c>
      <c r="G89" s="26">
        <f>IF(TH!$H$18="x",D89,0)</f>
        <v>1.8999999999999986</v>
      </c>
      <c r="H89" s="26"/>
      <c r="I89" s="26"/>
      <c r="J89" s="26">
        <f>J88</f>
        <v>72.229054410400039</v>
      </c>
      <c r="K89" s="26">
        <f>K88</f>
        <v>9.3126689786469328</v>
      </c>
      <c r="L89" s="32"/>
      <c r="M89" s="26">
        <f t="shared" ref="M89:O89" si="70">M88</f>
        <v>5.2038242396987515</v>
      </c>
      <c r="N89" s="26">
        <f t="shared" si="70"/>
        <v>173.78869380907753</v>
      </c>
      <c r="O89" s="33">
        <f t="shared" si="70"/>
        <v>936.71791630401503</v>
      </c>
      <c r="P89" s="10">
        <f t="shared" si="61"/>
        <v>468.35895815200752</v>
      </c>
      <c r="Q89" s="10">
        <f t="shared" si="62"/>
        <v>-468.35895815200752</v>
      </c>
      <c r="R89" s="214">
        <f t="shared" si="8"/>
        <v>-146.53336962561116</v>
      </c>
      <c r="S89" s="224">
        <f t="shared" si="15"/>
        <v>541.6256429648131</v>
      </c>
      <c r="T89" s="225">
        <f t="shared" si="63"/>
        <v>-541.6256429648131</v>
      </c>
      <c r="U89" s="214">
        <f t="shared" si="9"/>
        <v>-19.530555318143911</v>
      </c>
      <c r="V89" s="232">
        <f t="shared" si="46"/>
        <v>478.12423581107947</v>
      </c>
      <c r="W89" s="233">
        <f t="shared" si="17"/>
        <v>-478.12423581107947</v>
      </c>
      <c r="X89" s="214">
        <f t="shared" si="10"/>
        <v>104.34092376609283</v>
      </c>
      <c r="Y89" s="228">
        <f t="shared" si="18"/>
        <v>416.1884962689611</v>
      </c>
      <c r="Z89" s="229">
        <f t="shared" si="19"/>
        <v>-416.1884962689611</v>
      </c>
      <c r="AA89" s="214">
        <f t="shared" si="11"/>
        <v>185.66674076080733</v>
      </c>
      <c r="AB89" s="264">
        <f t="shared" si="20"/>
        <v>375.52558777160385</v>
      </c>
      <c r="AC89" s="265">
        <f t="shared" si="21"/>
        <v>-375.52558777160385</v>
      </c>
      <c r="AD89" s="214">
        <f>IF($D$9="Par",Path!R89,IF($D$9="Con",Path!U89,IF($D$9="Exp",Path!X89,IF($D$9="Hyp",Path!AA89))))</f>
        <v>104.34092376609283</v>
      </c>
      <c r="AE89" s="6">
        <f>IF(B89&gt;0,K89,"")</f>
        <v>9.3126689786469328</v>
      </c>
      <c r="AO89" s="6"/>
      <c r="AP89" s="6"/>
    </row>
    <row r="90" spans="2:42" x14ac:dyDescent="0.2">
      <c r="B90" s="2"/>
      <c r="C90" s="36"/>
      <c r="D90" s="37"/>
      <c r="E90" s="37"/>
      <c r="F90" s="43"/>
      <c r="G90" s="43"/>
      <c r="H90" s="43"/>
      <c r="I90" s="43"/>
      <c r="J90" s="39">
        <f>J89</f>
        <v>72.229054410400039</v>
      </c>
      <c r="K90" s="39">
        <f>K89</f>
        <v>9.3126689786469328</v>
      </c>
      <c r="L90" s="32"/>
      <c r="M90" s="39">
        <f>((H88-H85)^2+(I88-I85)^2)^0.5</f>
        <v>3.8010914543071976</v>
      </c>
      <c r="N90" s="39">
        <f>N87+M90</f>
        <v>177.58978526338473</v>
      </c>
      <c r="O90" s="33">
        <f>((C88-C89)^2+(D88-D89)^2)^0.5*Path!$F$3</f>
        <v>848.15473292907836</v>
      </c>
      <c r="P90" s="10">
        <f t="shared" si="61"/>
        <v>424.07736646453918</v>
      </c>
      <c r="Q90" s="10">
        <f t="shared" si="62"/>
        <v>-424.07736646453918</v>
      </c>
      <c r="R90" s="214">
        <f t="shared" si="8"/>
        <v>-253.2786449860082</v>
      </c>
      <c r="S90" s="224">
        <f t="shared" si="15"/>
        <v>550.71668895754328</v>
      </c>
      <c r="T90" s="225">
        <f t="shared" si="63"/>
        <v>-550.71668895754328</v>
      </c>
      <c r="U90" s="214">
        <f t="shared" si="9"/>
        <v>-126.11093603367578</v>
      </c>
      <c r="V90" s="232">
        <f t="shared" si="46"/>
        <v>487.13283448137707</v>
      </c>
      <c r="W90" s="233">
        <f t="shared" si="17"/>
        <v>-487.13283448137707</v>
      </c>
      <c r="X90" s="214">
        <f t="shared" si="10"/>
        <v>-0.51740496903596522</v>
      </c>
      <c r="Y90" s="228">
        <f t="shared" si="18"/>
        <v>424.33606894905716</v>
      </c>
      <c r="Z90" s="229">
        <f t="shared" si="19"/>
        <v>-424.33606894905716</v>
      </c>
      <c r="AA90" s="214">
        <f t="shared" si="11"/>
        <v>81.989276742922812</v>
      </c>
      <c r="AB90" s="264">
        <f t="shared" si="20"/>
        <v>383.08272809307778</v>
      </c>
      <c r="AC90" s="265">
        <f t="shared" si="21"/>
        <v>-383.08272809307778</v>
      </c>
      <c r="AD90" s="214">
        <f>IF($D$9="Par",Path!R90,IF($D$9="Con",Path!U90,IF($D$9="Exp",Path!X90,IF($D$9="Hyp",Path!AA90))))</f>
        <v>-0.51740496903596522</v>
      </c>
      <c r="AE90" s="6">
        <f>IF(B89&gt;0,K90,"")</f>
        <v>9.3126689786469328</v>
      </c>
      <c r="AO90" s="6"/>
      <c r="AP90" s="6"/>
    </row>
    <row r="91" spans="2:42" x14ac:dyDescent="0.2">
      <c r="B91" s="2"/>
      <c r="C91" s="21">
        <f>Panels!C62</f>
        <v>73.115359132677511</v>
      </c>
      <c r="D91" s="21">
        <f>Panels!D62</f>
        <v>16.825376238482868</v>
      </c>
      <c r="E91" s="23"/>
      <c r="F91" s="22">
        <f>IF(TH!$H$18="x",C91,0)</f>
        <v>73.115359132677511</v>
      </c>
      <c r="G91" s="22">
        <f>IF(TH!$H$18="x",D91,0)</f>
        <v>16.825376238482868</v>
      </c>
      <c r="H91" s="22">
        <f>SUM(C91:C92)/2</f>
        <v>73.426965846629685</v>
      </c>
      <c r="I91" s="22">
        <f>SUM(D91:D92)/2</f>
        <v>9.3626881192414331</v>
      </c>
      <c r="J91" s="22">
        <f>IF(TH!$H$17="x",H91,0)</f>
        <v>73.426965846629685</v>
      </c>
      <c r="K91" s="26">
        <f>IF(TH!$H$17="x",I91,0)</f>
        <v>9.3626881192414331</v>
      </c>
      <c r="L91" s="34"/>
      <c r="M91" s="22">
        <f t="shared" ref="M91:O91" si="71">M90</f>
        <v>3.8010914543071976</v>
      </c>
      <c r="N91" s="22">
        <f t="shared" si="71"/>
        <v>177.58978526338473</v>
      </c>
      <c r="O91" s="35">
        <f t="shared" si="71"/>
        <v>848.15473292907836</v>
      </c>
      <c r="P91" s="10">
        <f t="shared" si="61"/>
        <v>424.07736646453918</v>
      </c>
      <c r="Q91" s="10">
        <f t="shared" si="62"/>
        <v>-424.07736646453918</v>
      </c>
      <c r="R91" s="214">
        <f t="shared" si="8"/>
        <v>-253.2786449860082</v>
      </c>
      <c r="S91" s="224">
        <f t="shared" si="15"/>
        <v>550.71668895754328</v>
      </c>
      <c r="T91" s="225">
        <f t="shared" si="63"/>
        <v>-550.71668895754328</v>
      </c>
      <c r="U91" s="214">
        <f t="shared" si="9"/>
        <v>-126.11093603367578</v>
      </c>
      <c r="V91" s="232">
        <f t="shared" si="46"/>
        <v>487.13283448137707</v>
      </c>
      <c r="W91" s="233">
        <f t="shared" si="17"/>
        <v>-487.13283448137707</v>
      </c>
      <c r="X91" s="214">
        <f t="shared" si="10"/>
        <v>-0.51740496903596522</v>
      </c>
      <c r="Y91" s="228">
        <f t="shared" si="18"/>
        <v>424.33606894905716</v>
      </c>
      <c r="Z91" s="229">
        <f t="shared" si="19"/>
        <v>-424.33606894905716</v>
      </c>
      <c r="AA91" s="214">
        <f t="shared" si="11"/>
        <v>81.989276742922812</v>
      </c>
      <c r="AB91" s="264">
        <f t="shared" si="20"/>
        <v>383.08272809307778</v>
      </c>
      <c r="AC91" s="265">
        <f t="shared" si="21"/>
        <v>-383.08272809307778</v>
      </c>
      <c r="AD91" s="214">
        <f>IF($D$9="Par",Path!R91,IF($D$9="Con",Path!U91,IF($D$9="Exp",Path!X91,IF($D$9="Hyp",Path!AA91))))</f>
        <v>-0.51740496903596522</v>
      </c>
      <c r="AE91" s="6">
        <f>IF(B92&gt;0,K91,"")</f>
        <v>9.3626881192414331</v>
      </c>
    </row>
    <row r="92" spans="2:42" x14ac:dyDescent="0.2">
      <c r="B92" s="5">
        <f>B89+1</f>
        <v>23</v>
      </c>
      <c r="C92" s="25">
        <f>C91+(D91-D92)*E23</f>
        <v>73.738572560581844</v>
      </c>
      <c r="D92" s="26">
        <f>Panels!D28</f>
        <v>1.9</v>
      </c>
      <c r="E92" s="27"/>
      <c r="F92" s="26">
        <f>IF(TH!$H$18="x",C92,0)</f>
        <v>73.738572560581844</v>
      </c>
      <c r="G92" s="26">
        <f>IF(TH!$H$18="x",D92,0)</f>
        <v>1.9</v>
      </c>
      <c r="H92" s="26"/>
      <c r="I92" s="26"/>
      <c r="J92" s="26">
        <f>J91</f>
        <v>73.426965846629685</v>
      </c>
      <c r="K92" s="26">
        <f>K91</f>
        <v>9.3626881192414331</v>
      </c>
      <c r="L92" s="32"/>
      <c r="M92" s="26">
        <f t="shared" ref="M92:O92" si="72">M91</f>
        <v>3.8010914543071976</v>
      </c>
      <c r="N92" s="26">
        <f t="shared" si="72"/>
        <v>177.58978526338473</v>
      </c>
      <c r="O92" s="33">
        <f t="shared" si="72"/>
        <v>848.15473292907836</v>
      </c>
      <c r="P92" s="10">
        <f t="shared" si="61"/>
        <v>424.07736646453918</v>
      </c>
      <c r="Q92" s="10">
        <f t="shared" si="62"/>
        <v>-424.07736646453918</v>
      </c>
      <c r="R92" s="214">
        <f t="shared" ref="R92:R138" si="73">($P92-S92)*2</f>
        <v>-253.2786449860082</v>
      </c>
      <c r="S92" s="224">
        <f t="shared" si="15"/>
        <v>550.71668895754328</v>
      </c>
      <c r="T92" s="225">
        <f t="shared" si="63"/>
        <v>-550.71668895754328</v>
      </c>
      <c r="U92" s="214">
        <f t="shared" ref="U92:U138" si="74">($P92-V92)*2</f>
        <v>-126.11093603367578</v>
      </c>
      <c r="V92" s="232">
        <f t="shared" si="46"/>
        <v>487.13283448137707</v>
      </c>
      <c r="W92" s="233">
        <f t="shared" si="17"/>
        <v>-487.13283448137707</v>
      </c>
      <c r="X92" s="214">
        <f t="shared" ref="X92:X138" si="75">($P92-Y92)*2</f>
        <v>-0.51740496903596522</v>
      </c>
      <c r="Y92" s="228">
        <f t="shared" si="18"/>
        <v>424.33606894905716</v>
      </c>
      <c r="Z92" s="229">
        <f t="shared" si="19"/>
        <v>-424.33606894905716</v>
      </c>
      <c r="AA92" s="214">
        <f t="shared" ref="AA92:AA138" si="76">($P92-AB92)*2</f>
        <v>81.989276742922812</v>
      </c>
      <c r="AB92" s="264">
        <f t="shared" si="20"/>
        <v>383.08272809307778</v>
      </c>
      <c r="AC92" s="265">
        <f t="shared" si="21"/>
        <v>-383.08272809307778</v>
      </c>
      <c r="AD92" s="214">
        <f>IF($D$9="Par",Path!R92,IF($D$9="Con",Path!U92,IF($D$9="Exp",Path!X92,IF($D$9="Hyp",Path!AA92))))</f>
        <v>-0.51740496903596522</v>
      </c>
      <c r="AE92" s="6">
        <f>IF(B92&gt;0,K92,"")</f>
        <v>9.3626881192414331</v>
      </c>
    </row>
    <row r="93" spans="2:42" x14ac:dyDescent="0.2">
      <c r="B93" s="2"/>
      <c r="C93" s="36"/>
      <c r="D93" s="37"/>
      <c r="E93" s="37"/>
      <c r="F93" s="43"/>
      <c r="G93" s="43"/>
      <c r="H93" s="43"/>
      <c r="I93" s="43"/>
      <c r="J93" s="39">
        <f>J92</f>
        <v>73.426965846629685</v>
      </c>
      <c r="K93" s="39">
        <f>K92</f>
        <v>9.3626881192414331</v>
      </c>
      <c r="L93" s="32"/>
      <c r="M93" s="39">
        <f>((H91-H88)^2+(I91-I88)^2)^0.5</f>
        <v>1.1989552633337013</v>
      </c>
      <c r="N93" s="39">
        <f>N90+M93</f>
        <v>178.78874052671841</v>
      </c>
      <c r="O93" s="33">
        <f>((C91-C92)^2+(D91-D92)^2)^0.5*Path!$F$3</f>
        <v>853.87790375384839</v>
      </c>
      <c r="P93" s="10">
        <f t="shared" si="61"/>
        <v>426.93895187692419</v>
      </c>
      <c r="Q93" s="10">
        <f t="shared" si="62"/>
        <v>-426.93895187692419</v>
      </c>
      <c r="R93" s="214">
        <f t="shared" si="73"/>
        <v>-253.29054135086926</v>
      </c>
      <c r="S93" s="224">
        <f t="shared" si="15"/>
        <v>553.58422255235882</v>
      </c>
      <c r="T93" s="225">
        <f t="shared" si="63"/>
        <v>-553.58422255235882</v>
      </c>
      <c r="U93" s="214">
        <f t="shared" si="74"/>
        <v>-126.10570588960866</v>
      </c>
      <c r="V93" s="232">
        <f t="shared" si="46"/>
        <v>489.99180482172852</v>
      </c>
      <c r="W93" s="233">
        <f t="shared" si="17"/>
        <v>-489.99180482172852</v>
      </c>
      <c r="X93" s="214">
        <f t="shared" si="75"/>
        <v>3.6444134821067564E-8</v>
      </c>
      <c r="Y93" s="228">
        <f t="shared" si="18"/>
        <v>426.93895185870213</v>
      </c>
      <c r="Z93" s="229">
        <f t="shared" si="19"/>
        <v>-426.93895185870213</v>
      </c>
      <c r="AA93" s="214">
        <f t="shared" si="76"/>
        <v>82.86094547242908</v>
      </c>
      <c r="AB93" s="264">
        <f t="shared" si="20"/>
        <v>385.50847914070965</v>
      </c>
      <c r="AC93" s="265">
        <f t="shared" si="21"/>
        <v>-385.50847914070965</v>
      </c>
      <c r="AD93" s="214">
        <f>IF($D$9="Par",Path!R93,IF($D$9="Con",Path!U93,IF($D$9="Exp",Path!X93,IF($D$9="Hyp",Path!AA93))))</f>
        <v>3.6444134821067564E-8</v>
      </c>
      <c r="AE93" s="6">
        <f>IF(B92&gt;0,K93,"")</f>
        <v>9.3626881192414331</v>
      </c>
    </row>
    <row r="94" spans="2:42" x14ac:dyDescent="0.2">
      <c r="B94" s="2"/>
      <c r="C94" s="21">
        <f>C91</f>
        <v>73.115359132677511</v>
      </c>
      <c r="D94" s="22">
        <f>D91</f>
        <v>16.825376238482868</v>
      </c>
      <c r="E94" s="30"/>
      <c r="F94" s="22">
        <f>IF(TH!$H$18="x",C94,0)</f>
        <v>73.115359132677511</v>
      </c>
      <c r="G94" s="22">
        <f>IF(TH!$H$18="x",D94,0)</f>
        <v>16.825376238482868</v>
      </c>
      <c r="H94" s="22">
        <f>SUM(C94:C95)/2</f>
        <v>77.377322706484222</v>
      </c>
      <c r="I94" s="22">
        <f>SUM(D94:D95)/2</f>
        <v>9.3626881192414331</v>
      </c>
      <c r="J94" s="22">
        <f>IF(TH!$H$17="x",H94,0)</f>
        <v>77.377322706484222</v>
      </c>
      <c r="K94" s="26">
        <f>IF(TH!$H$17="x",I94,0)</f>
        <v>9.3626881192414331</v>
      </c>
      <c r="L94" s="34"/>
      <c r="M94" s="22">
        <f t="shared" ref="M94:O94" si="77">M93</f>
        <v>1.1989552633337013</v>
      </c>
      <c r="N94" s="22">
        <f t="shared" si="77"/>
        <v>178.78874052671841</v>
      </c>
      <c r="O94" s="35">
        <f t="shared" si="77"/>
        <v>853.87790375384839</v>
      </c>
      <c r="P94" s="10">
        <f t="shared" ref="P94:P114" si="78">O94/2</f>
        <v>426.93895187692419</v>
      </c>
      <c r="Q94" s="10">
        <f t="shared" ref="Q94:Q114" si="79">-P94</f>
        <v>-426.93895187692419</v>
      </c>
      <c r="R94" s="214">
        <f t="shared" si="73"/>
        <v>-253.29054135086926</v>
      </c>
      <c r="S94" s="224">
        <f t="shared" si="15"/>
        <v>553.58422255235882</v>
      </c>
      <c r="T94" s="225">
        <f t="shared" ref="T94:T138" si="80">-S94</f>
        <v>-553.58422255235882</v>
      </c>
      <c r="U94" s="214">
        <f t="shared" si="74"/>
        <v>-126.10570588960866</v>
      </c>
      <c r="V94" s="232">
        <f t="shared" ref="V94:V129" si="81">PI()*($M$3*($N94-$E$4)*2+$K$3)^2/2</f>
        <v>489.99180482172852</v>
      </c>
      <c r="W94" s="233">
        <f t="shared" si="17"/>
        <v>-489.99180482172852</v>
      </c>
      <c r="X94" s="214">
        <f t="shared" si="75"/>
        <v>3.6444134821067564E-8</v>
      </c>
      <c r="Y94" s="228">
        <f t="shared" si="18"/>
        <v>426.93895185870213</v>
      </c>
      <c r="Z94" s="229">
        <f t="shared" si="19"/>
        <v>-426.93895185870213</v>
      </c>
      <c r="AA94" s="214">
        <f t="shared" si="76"/>
        <v>82.86094547242908</v>
      </c>
      <c r="AB94" s="264">
        <f t="shared" si="20"/>
        <v>385.50847914070965</v>
      </c>
      <c r="AC94" s="265">
        <f t="shared" si="21"/>
        <v>-385.50847914070965</v>
      </c>
      <c r="AD94" s="214">
        <f>IF($D$9="Par",Path!R94,IF($D$9="Con",Path!U94,IF($D$9="Exp",Path!X94,IF($D$9="Hyp",Path!AA94))))</f>
        <v>3.6444134821067564E-8</v>
      </c>
      <c r="AE94" s="6">
        <f>IF(B95&gt;0,K94,"")</f>
        <v>9.3626881192414331</v>
      </c>
      <c r="AH94" s="2"/>
      <c r="AI94" s="6"/>
      <c r="AJ94" s="6"/>
      <c r="AK94" s="6"/>
      <c r="AL94" s="6"/>
      <c r="AM94" s="9"/>
      <c r="AN94" s="9"/>
    </row>
    <row r="95" spans="2:42" x14ac:dyDescent="0.2">
      <c r="B95" s="5">
        <f>B92+1</f>
        <v>24</v>
      </c>
      <c r="C95" s="25">
        <f>(C92+Panels!C14)/2</f>
        <v>81.639286280290918</v>
      </c>
      <c r="D95" s="26">
        <f>D92</f>
        <v>1.9</v>
      </c>
      <c r="E95" s="30"/>
      <c r="F95" s="26">
        <f>IF(TH!$H$18="x",C95,0)</f>
        <v>81.639286280290918</v>
      </c>
      <c r="G95" s="26">
        <f>IF(TH!$H$18="x",D95,0)</f>
        <v>1.9</v>
      </c>
      <c r="H95" s="26"/>
      <c r="I95" s="26"/>
      <c r="J95" s="26">
        <f>J94</f>
        <v>77.377322706484222</v>
      </c>
      <c r="K95" s="26">
        <f>K94</f>
        <v>9.3626881192414331</v>
      </c>
      <c r="L95" s="32"/>
      <c r="M95" s="26">
        <f t="shared" ref="M95:O95" si="82">M94</f>
        <v>1.1989552633337013</v>
      </c>
      <c r="N95" s="26">
        <f t="shared" si="82"/>
        <v>178.78874052671841</v>
      </c>
      <c r="O95" s="33">
        <f t="shared" si="82"/>
        <v>853.87790375384839</v>
      </c>
      <c r="P95" s="10">
        <f t="shared" si="78"/>
        <v>426.93895187692419</v>
      </c>
      <c r="Q95" s="10">
        <f t="shared" si="79"/>
        <v>-426.93895187692419</v>
      </c>
      <c r="R95" s="214">
        <f t="shared" si="73"/>
        <v>-253.29054135086926</v>
      </c>
      <c r="S95" s="224">
        <f t="shared" ref="S95:S125" si="83">(($D$5-$D$4)*(N95-$E$4)/($E$5-$E$4)+$D$4)/2</f>
        <v>553.58422255235882</v>
      </c>
      <c r="T95" s="225">
        <f t="shared" si="80"/>
        <v>-553.58422255235882</v>
      </c>
      <c r="U95" s="214">
        <f t="shared" si="74"/>
        <v>-126.10570588960866</v>
      </c>
      <c r="V95" s="232">
        <f t="shared" si="81"/>
        <v>489.99180482172852</v>
      </c>
      <c r="W95" s="233">
        <f t="shared" ref="W95:W138" si="84">-V95</f>
        <v>-489.99180482172852</v>
      </c>
      <c r="X95" s="214">
        <f t="shared" si="75"/>
        <v>3.6444134821067564E-8</v>
      </c>
      <c r="Y95" s="228">
        <f t="shared" ref="Y95:Y125" si="85">($D$4*EXP($O$3*(N95-$E$4)))/2</f>
        <v>426.93895185870213</v>
      </c>
      <c r="Z95" s="229">
        <f t="shared" ref="Z95:Z138" si="86">-Y95</f>
        <v>-426.93895185870213</v>
      </c>
      <c r="AA95" s="214">
        <f t="shared" si="76"/>
        <v>82.86094547242908</v>
      </c>
      <c r="AB95" s="264">
        <f t="shared" ref="AB95:AB129" si="87">($D$4*(COSH((N95-$E$4)/($E$5-$E$4))+$Q$3*SINH((N95-$E$4)/($E$5-$E$4)))^2)/2</f>
        <v>385.50847914070965</v>
      </c>
      <c r="AC95" s="265">
        <f t="shared" ref="AC95:AC138" si="88">-AB95</f>
        <v>-385.50847914070965</v>
      </c>
      <c r="AD95" s="214">
        <f>IF($D$9="Par",Path!R95,IF($D$9="Con",Path!U95,IF($D$9="Exp",Path!X95,IF($D$9="Hyp",Path!AA95))))</f>
        <v>3.6444134821067564E-8</v>
      </c>
      <c r="AE95" s="6">
        <f>IF(B95&gt;0,K95,"")</f>
        <v>9.3626881192414331</v>
      </c>
      <c r="AH95" s="2"/>
      <c r="AI95" s="6"/>
      <c r="AJ95" s="6"/>
      <c r="AK95" s="6"/>
      <c r="AL95" s="6"/>
      <c r="AM95" s="9"/>
      <c r="AN95" s="9"/>
      <c r="AO95" s="6"/>
      <c r="AP95" s="6"/>
    </row>
    <row r="96" spans="2:42" x14ac:dyDescent="0.2">
      <c r="B96" s="2"/>
      <c r="C96" s="29"/>
      <c r="D96" s="30"/>
      <c r="E96" s="30"/>
      <c r="F96" s="43"/>
      <c r="G96" s="43"/>
      <c r="H96" s="43"/>
      <c r="I96" s="43"/>
      <c r="J96" s="26">
        <f>J95</f>
        <v>77.377322706484222</v>
      </c>
      <c r="K96" s="26">
        <f>K95</f>
        <v>9.3626881192414331</v>
      </c>
      <c r="L96" s="32"/>
      <c r="M96" s="39">
        <f>((H94-H91)^2+(I94-I91)^2)^0.5</f>
        <v>3.9503568598545371</v>
      </c>
      <c r="N96" s="39">
        <f>N93+M96</f>
        <v>182.73909738657295</v>
      </c>
      <c r="O96" s="33">
        <f>((C94-C95)^2+(D94-D95)^2)^0.5*Path!$F$3</f>
        <v>982.46083534996501</v>
      </c>
      <c r="P96" s="10">
        <f t="shared" si="78"/>
        <v>491.2304176749825</v>
      </c>
      <c r="Q96" s="10">
        <f t="shared" si="79"/>
        <v>-491.2304176749825</v>
      </c>
      <c r="R96" s="214">
        <f t="shared" si="73"/>
        <v>-143.60369596174996</v>
      </c>
      <c r="S96" s="224">
        <f t="shared" si="83"/>
        <v>563.03226565585749</v>
      </c>
      <c r="T96" s="225">
        <f t="shared" si="80"/>
        <v>-563.03226565585749</v>
      </c>
      <c r="U96" s="214">
        <f t="shared" si="74"/>
        <v>-16.480803757836952</v>
      </c>
      <c r="V96" s="232">
        <f t="shared" si="81"/>
        <v>499.47081955390098</v>
      </c>
      <c r="W96" s="233">
        <f t="shared" si="84"/>
        <v>-499.47081955390098</v>
      </c>
      <c r="X96" s="214">
        <f t="shared" si="75"/>
        <v>111.20380999942915</v>
      </c>
      <c r="Y96" s="228">
        <f t="shared" si="85"/>
        <v>435.62851267526793</v>
      </c>
      <c r="Z96" s="229">
        <f t="shared" si="86"/>
        <v>-435.62851267526793</v>
      </c>
      <c r="AA96" s="214">
        <f t="shared" si="76"/>
        <v>195.16798658422522</v>
      </c>
      <c r="AB96" s="264">
        <f t="shared" si="87"/>
        <v>393.6464243828699</v>
      </c>
      <c r="AC96" s="265">
        <f t="shared" si="88"/>
        <v>-393.6464243828699</v>
      </c>
      <c r="AD96" s="214">
        <f>IF($D$9="Par",Path!R96,IF($D$9="Con",Path!U96,IF($D$9="Exp",Path!X96,IF($D$9="Hyp",Path!AA96))))</f>
        <v>111.20380999942915</v>
      </c>
      <c r="AE96" s="6">
        <f>IF(B95&gt;0,K96,"")</f>
        <v>9.3626881192414331</v>
      </c>
    </row>
    <row r="97" spans="2:31" x14ac:dyDescent="0.2">
      <c r="B97" s="2"/>
      <c r="C97" s="21">
        <f>C94</f>
        <v>73.115359132677511</v>
      </c>
      <c r="D97" s="22">
        <f>D94</f>
        <v>16.825376238482868</v>
      </c>
      <c r="E97" s="23"/>
      <c r="F97" s="22">
        <f>IF(TH!$H$18="x",C97,0)</f>
        <v>73.115359132677511</v>
      </c>
      <c r="G97" s="22">
        <f>IF(TH!$H$18="x",D97,0)</f>
        <v>16.825376238482868</v>
      </c>
      <c r="H97" s="22">
        <f>SUM(C97:C98)/2</f>
        <v>81.327679566338759</v>
      </c>
      <c r="I97" s="22">
        <f>SUM(D97:D98)/2</f>
        <v>13.26548609354856</v>
      </c>
      <c r="J97" s="22">
        <f>IF(TH!$H$17="x",H97,0)</f>
        <v>81.327679566338759</v>
      </c>
      <c r="K97" s="22">
        <f>IF(TH!$H$17="x",I97,0)</f>
        <v>13.26548609354856</v>
      </c>
      <c r="L97" s="34"/>
      <c r="M97" s="22">
        <f t="shared" ref="M97:O97" si="89">M96</f>
        <v>3.9503568598545371</v>
      </c>
      <c r="N97" s="22">
        <f t="shared" si="89"/>
        <v>182.73909738657295</v>
      </c>
      <c r="O97" s="35">
        <f t="shared" si="89"/>
        <v>982.46083534996501</v>
      </c>
      <c r="P97" s="10">
        <f t="shared" si="78"/>
        <v>491.2304176749825</v>
      </c>
      <c r="Q97" s="10">
        <f t="shared" si="79"/>
        <v>-491.2304176749825</v>
      </c>
      <c r="R97" s="214">
        <f t="shared" si="73"/>
        <v>-143.60369596174996</v>
      </c>
      <c r="S97" s="224">
        <f t="shared" si="83"/>
        <v>563.03226565585749</v>
      </c>
      <c r="T97" s="225">
        <f t="shared" si="80"/>
        <v>-563.03226565585749</v>
      </c>
      <c r="U97" s="214">
        <f t="shared" si="74"/>
        <v>-16.480803757836952</v>
      </c>
      <c r="V97" s="232">
        <f t="shared" si="81"/>
        <v>499.47081955390098</v>
      </c>
      <c r="W97" s="233">
        <f t="shared" si="84"/>
        <v>-499.47081955390098</v>
      </c>
      <c r="X97" s="214">
        <f t="shared" si="75"/>
        <v>111.20380999942915</v>
      </c>
      <c r="Y97" s="228">
        <f t="shared" si="85"/>
        <v>435.62851267526793</v>
      </c>
      <c r="Z97" s="229">
        <f t="shared" si="86"/>
        <v>-435.62851267526793</v>
      </c>
      <c r="AA97" s="214">
        <f t="shared" si="76"/>
        <v>195.16798658422522</v>
      </c>
      <c r="AB97" s="264">
        <f t="shared" si="87"/>
        <v>393.6464243828699</v>
      </c>
      <c r="AC97" s="265">
        <f t="shared" si="88"/>
        <v>-393.6464243828699</v>
      </c>
      <c r="AD97" s="214">
        <f>IF($D$9="Par",Path!R97,IF($D$9="Con",Path!U97,IF($D$9="Exp",Path!X97,IF($D$9="Hyp",Path!AA97))))</f>
        <v>111.20380999942915</v>
      </c>
      <c r="AE97" s="6">
        <f>IF(B98&gt;0,K97,"")</f>
        <v>13.26548609354856</v>
      </c>
    </row>
    <row r="98" spans="2:31" x14ac:dyDescent="0.2">
      <c r="B98" s="5">
        <f>B95+1</f>
        <v>25</v>
      </c>
      <c r="C98" s="25">
        <f>C101</f>
        <v>89.539999999999992</v>
      </c>
      <c r="D98" s="26">
        <f>(D95+D101)/2</f>
        <v>9.7055959486142545</v>
      </c>
      <c r="E98" s="27"/>
      <c r="F98" s="26">
        <f>IF(TH!$H$18="x",C98,0)</f>
        <v>89.539999999999992</v>
      </c>
      <c r="G98" s="26">
        <f>IF(TH!$H$18="x",D98,0)</f>
        <v>9.7055959486142545</v>
      </c>
      <c r="H98" s="26"/>
      <c r="I98" s="26"/>
      <c r="J98" s="26">
        <f>J97</f>
        <v>81.327679566338759</v>
      </c>
      <c r="K98" s="26">
        <f>K97</f>
        <v>13.26548609354856</v>
      </c>
      <c r="L98" s="32"/>
      <c r="M98" s="26">
        <f t="shared" ref="M98:O98" si="90">M97</f>
        <v>3.9503568598545371</v>
      </c>
      <c r="N98" s="26">
        <f t="shared" si="90"/>
        <v>182.73909738657295</v>
      </c>
      <c r="O98" s="33">
        <f t="shared" si="90"/>
        <v>982.46083534996501</v>
      </c>
      <c r="P98" s="10">
        <f t="shared" si="78"/>
        <v>491.2304176749825</v>
      </c>
      <c r="Q98" s="10">
        <f t="shared" si="79"/>
        <v>-491.2304176749825</v>
      </c>
      <c r="R98" s="214">
        <f t="shared" si="73"/>
        <v>-143.60369596174996</v>
      </c>
      <c r="S98" s="224">
        <f t="shared" si="83"/>
        <v>563.03226565585749</v>
      </c>
      <c r="T98" s="225">
        <f t="shared" si="80"/>
        <v>-563.03226565585749</v>
      </c>
      <c r="U98" s="214">
        <f t="shared" si="74"/>
        <v>-16.480803757836952</v>
      </c>
      <c r="V98" s="232">
        <f t="shared" si="81"/>
        <v>499.47081955390098</v>
      </c>
      <c r="W98" s="233">
        <f t="shared" si="84"/>
        <v>-499.47081955390098</v>
      </c>
      <c r="X98" s="214">
        <f t="shared" si="75"/>
        <v>111.20380999942915</v>
      </c>
      <c r="Y98" s="228">
        <f t="shared" si="85"/>
        <v>435.62851267526793</v>
      </c>
      <c r="Z98" s="229">
        <f t="shared" si="86"/>
        <v>-435.62851267526793</v>
      </c>
      <c r="AA98" s="214">
        <f t="shared" si="76"/>
        <v>195.16798658422522</v>
      </c>
      <c r="AB98" s="264">
        <f t="shared" si="87"/>
        <v>393.6464243828699</v>
      </c>
      <c r="AC98" s="265">
        <f t="shared" si="88"/>
        <v>-393.6464243828699</v>
      </c>
      <c r="AD98" s="214">
        <f>IF($D$9="Par",Path!R98,IF($D$9="Con",Path!U98,IF($D$9="Exp",Path!X98,IF($D$9="Hyp",Path!AA98))))</f>
        <v>111.20380999942915</v>
      </c>
      <c r="AE98" s="6">
        <f>IF(B98&gt;0,K98,"")</f>
        <v>13.26548609354856</v>
      </c>
    </row>
    <row r="99" spans="2:31" x14ac:dyDescent="0.2">
      <c r="B99" s="2"/>
      <c r="C99" s="42"/>
      <c r="D99" s="43"/>
      <c r="E99" s="43"/>
      <c r="F99" s="43"/>
      <c r="G99" s="43"/>
      <c r="H99" s="43"/>
      <c r="I99" s="43"/>
      <c r="J99" s="39">
        <f>J98</f>
        <v>81.327679566338759</v>
      </c>
      <c r="K99" s="39">
        <f>K98</f>
        <v>13.26548609354856</v>
      </c>
      <c r="L99" s="32"/>
      <c r="M99" s="39">
        <f>((H97-H94)^2+(I97-I94)^2)^0.5</f>
        <v>5.553120865644436</v>
      </c>
      <c r="N99" s="39">
        <f>N96+M99</f>
        <v>188.2922182522174</v>
      </c>
      <c r="O99" s="33">
        <f>((C97-C98)^2+(D97-D98)^2)^0.5*Path!$F$3</f>
        <v>1023.2439873382733</v>
      </c>
      <c r="P99" s="10">
        <f t="shared" si="78"/>
        <v>511.62199366913666</v>
      </c>
      <c r="Q99" s="10">
        <f t="shared" si="79"/>
        <v>-511.62199366913666</v>
      </c>
      <c r="R99" s="214">
        <f t="shared" si="73"/>
        <v>-129.38327091628196</v>
      </c>
      <c r="S99" s="224">
        <f t="shared" si="83"/>
        <v>576.31362912727764</v>
      </c>
      <c r="T99" s="225">
        <f t="shared" si="80"/>
        <v>-576.31362912727764</v>
      </c>
      <c r="U99" s="214">
        <f t="shared" si="74"/>
        <v>-2.6545569382143412</v>
      </c>
      <c r="V99" s="232">
        <f t="shared" si="81"/>
        <v>512.94927213824383</v>
      </c>
      <c r="W99" s="233">
        <f t="shared" si="84"/>
        <v>-512.94927213824383</v>
      </c>
      <c r="X99" s="214">
        <f t="shared" si="75"/>
        <v>126.95692650246144</v>
      </c>
      <c r="Y99" s="228">
        <f t="shared" si="85"/>
        <v>448.14353041790594</v>
      </c>
      <c r="Z99" s="229">
        <f t="shared" si="86"/>
        <v>-448.14353041790594</v>
      </c>
      <c r="AA99" s="214">
        <f t="shared" si="76"/>
        <v>212.2987398049313</v>
      </c>
      <c r="AB99" s="264">
        <f t="shared" si="87"/>
        <v>405.47262376667101</v>
      </c>
      <c r="AC99" s="265">
        <f t="shared" si="88"/>
        <v>-405.47262376667101</v>
      </c>
      <c r="AD99" s="214">
        <f>IF($D$9="Par",Path!R99,IF($D$9="Con",Path!U99,IF($D$9="Exp",Path!X99,IF($D$9="Hyp",Path!AA99))))</f>
        <v>126.95692650246144</v>
      </c>
      <c r="AE99" s="6">
        <f>IF(B98&gt;0,K99,"")</f>
        <v>13.26548609354856</v>
      </c>
    </row>
    <row r="100" spans="2:31" x14ac:dyDescent="0.2">
      <c r="B100" s="2"/>
      <c r="C100" s="25">
        <f>C94</f>
        <v>73.115359132677511</v>
      </c>
      <c r="D100" s="25">
        <f>D94</f>
        <v>16.825376238482868</v>
      </c>
      <c r="E100" s="27"/>
      <c r="F100" s="22">
        <f>IF(TH!$H$18="x",C100,0)</f>
        <v>73.115359132677511</v>
      </c>
      <c r="G100" s="22">
        <f>IF(TH!$H$18="x",D100,0)</f>
        <v>16.825376238482868</v>
      </c>
      <c r="H100" s="22">
        <f>SUM(C100:C101)/2</f>
        <v>81.327679566338759</v>
      </c>
      <c r="I100" s="22">
        <f>SUM(D100:D101)/2</f>
        <v>17.168284067855687</v>
      </c>
      <c r="J100" s="26">
        <f>IF(TH!$H$17="x",H100,0)</f>
        <v>81.327679566338759</v>
      </c>
      <c r="K100" s="26">
        <f>IF(TH!$H$17="x",I100,0)</f>
        <v>17.168284067855687</v>
      </c>
      <c r="L100" s="34"/>
      <c r="M100" s="22">
        <f t="shared" ref="M100:O100" si="91">M99</f>
        <v>5.553120865644436</v>
      </c>
      <c r="N100" s="22">
        <f t="shared" si="91"/>
        <v>188.2922182522174</v>
      </c>
      <c r="O100" s="35">
        <f t="shared" si="91"/>
        <v>1023.2439873382733</v>
      </c>
      <c r="P100" s="10">
        <f t="shared" si="78"/>
        <v>511.62199366913666</v>
      </c>
      <c r="Q100" s="10">
        <f t="shared" si="79"/>
        <v>-511.62199366913666</v>
      </c>
      <c r="R100" s="214">
        <f t="shared" si="73"/>
        <v>-129.38327091628196</v>
      </c>
      <c r="S100" s="224">
        <f t="shared" si="83"/>
        <v>576.31362912727764</v>
      </c>
      <c r="T100" s="225">
        <f t="shared" si="80"/>
        <v>-576.31362912727764</v>
      </c>
      <c r="U100" s="214">
        <f t="shared" si="74"/>
        <v>-2.6545569382143412</v>
      </c>
      <c r="V100" s="232">
        <f t="shared" si="81"/>
        <v>512.94927213824383</v>
      </c>
      <c r="W100" s="233">
        <f t="shared" si="84"/>
        <v>-512.94927213824383</v>
      </c>
      <c r="X100" s="214">
        <f t="shared" si="75"/>
        <v>126.95692650246144</v>
      </c>
      <c r="Y100" s="228">
        <f t="shared" si="85"/>
        <v>448.14353041790594</v>
      </c>
      <c r="Z100" s="229">
        <f t="shared" si="86"/>
        <v>-448.14353041790594</v>
      </c>
      <c r="AA100" s="214">
        <f t="shared" si="76"/>
        <v>212.2987398049313</v>
      </c>
      <c r="AB100" s="264">
        <f t="shared" si="87"/>
        <v>405.47262376667101</v>
      </c>
      <c r="AC100" s="265">
        <f t="shared" si="88"/>
        <v>-405.47262376667101</v>
      </c>
      <c r="AD100" s="214">
        <f>IF($D$9="Par",Path!R100,IF($D$9="Con",Path!U100,IF($D$9="Exp",Path!X100,IF($D$9="Hyp",Path!AA100))))</f>
        <v>126.95692650246144</v>
      </c>
      <c r="AE100" s="6">
        <f>IF(B101&gt;0,K100,"")</f>
        <v>17.168284067855687</v>
      </c>
    </row>
    <row r="101" spans="2:31" x14ac:dyDescent="0.2">
      <c r="B101" s="5">
        <f>B98+1</f>
        <v>26</v>
      </c>
      <c r="C101" s="25">
        <f>Panels!C14</f>
        <v>89.539999999999992</v>
      </c>
      <c r="D101" s="26">
        <f>D100+(C101-C100)*E23</f>
        <v>17.51119189722851</v>
      </c>
      <c r="E101" s="27"/>
      <c r="F101" s="26">
        <f>IF(TH!$H$18="x",C101,0)</f>
        <v>89.539999999999992</v>
      </c>
      <c r="G101" s="26">
        <f>IF(TH!$H$18="x",D101,0)</f>
        <v>17.51119189722851</v>
      </c>
      <c r="H101" s="26"/>
      <c r="I101" s="26"/>
      <c r="J101" s="26">
        <f>J100</f>
        <v>81.327679566338759</v>
      </c>
      <c r="K101" s="26">
        <f>K100</f>
        <v>17.168284067855687</v>
      </c>
      <c r="L101" s="32"/>
      <c r="M101" s="26">
        <f t="shared" ref="M101:O101" si="92">M100</f>
        <v>5.553120865644436</v>
      </c>
      <c r="N101" s="26">
        <f t="shared" si="92"/>
        <v>188.2922182522174</v>
      </c>
      <c r="O101" s="33">
        <f t="shared" si="92"/>
        <v>1023.2439873382733</v>
      </c>
      <c r="P101" s="10">
        <f t="shared" si="78"/>
        <v>511.62199366913666</v>
      </c>
      <c r="Q101" s="10">
        <f t="shared" si="79"/>
        <v>-511.62199366913666</v>
      </c>
      <c r="R101" s="214">
        <f t="shared" si="73"/>
        <v>-129.38327091628196</v>
      </c>
      <c r="S101" s="224">
        <f t="shared" si="83"/>
        <v>576.31362912727764</v>
      </c>
      <c r="T101" s="225">
        <f t="shared" si="80"/>
        <v>-576.31362912727764</v>
      </c>
      <c r="U101" s="214">
        <f t="shared" si="74"/>
        <v>-2.6545569382143412</v>
      </c>
      <c r="V101" s="232">
        <f t="shared" si="81"/>
        <v>512.94927213824383</v>
      </c>
      <c r="W101" s="233">
        <f t="shared" si="84"/>
        <v>-512.94927213824383</v>
      </c>
      <c r="X101" s="214">
        <f t="shared" si="75"/>
        <v>126.95692650246144</v>
      </c>
      <c r="Y101" s="228">
        <f t="shared" si="85"/>
        <v>448.14353041790594</v>
      </c>
      <c r="Z101" s="229">
        <f t="shared" si="86"/>
        <v>-448.14353041790594</v>
      </c>
      <c r="AA101" s="214">
        <f t="shared" si="76"/>
        <v>212.2987398049313</v>
      </c>
      <c r="AB101" s="264">
        <f t="shared" si="87"/>
        <v>405.47262376667101</v>
      </c>
      <c r="AC101" s="265">
        <f t="shared" si="88"/>
        <v>-405.47262376667101</v>
      </c>
      <c r="AD101" s="214">
        <f>IF($D$9="Par",Path!R101,IF($D$9="Con",Path!U101,IF($D$9="Exp",Path!X101,IF($D$9="Hyp",Path!AA101))))</f>
        <v>126.95692650246144</v>
      </c>
      <c r="AE101" s="6">
        <f>IF(B101&gt;0,K101,"")</f>
        <v>17.168284067855687</v>
      </c>
    </row>
    <row r="102" spans="2:31" x14ac:dyDescent="0.2">
      <c r="B102" s="2"/>
      <c r="C102" s="36"/>
      <c r="D102" s="37"/>
      <c r="E102" s="37"/>
      <c r="F102" s="43"/>
      <c r="G102" s="43"/>
      <c r="H102" s="43"/>
      <c r="I102" s="43"/>
      <c r="J102" s="39">
        <f>J101</f>
        <v>81.327679566338759</v>
      </c>
      <c r="K102" s="39">
        <f>K101</f>
        <v>17.168284067855687</v>
      </c>
      <c r="L102" s="32"/>
      <c r="M102" s="39">
        <f>((H100-H97)^2+(I100-I97)^2)^0.5</f>
        <v>3.902797974307127</v>
      </c>
      <c r="N102" s="39">
        <f>N99+M102</f>
        <v>192.19501622652453</v>
      </c>
      <c r="O102" s="33">
        <f>((C100-C101)^2+(D100-D101)^2)^0.5*Path!$F$3</f>
        <v>939.65054479086837</v>
      </c>
      <c r="P102" s="10">
        <f t="shared" si="78"/>
        <v>469.82527239543418</v>
      </c>
      <c r="Q102" s="10">
        <f t="shared" si="79"/>
        <v>-469.82527239543418</v>
      </c>
      <c r="R102" s="214">
        <f t="shared" si="73"/>
        <v>-231.64530710910196</v>
      </c>
      <c r="S102" s="224">
        <f t="shared" si="83"/>
        <v>585.64792594998517</v>
      </c>
      <c r="T102" s="225">
        <f t="shared" si="80"/>
        <v>-585.64792594998517</v>
      </c>
      <c r="U102" s="214">
        <f t="shared" si="74"/>
        <v>-105.40838158644408</v>
      </c>
      <c r="V102" s="232">
        <f t="shared" si="81"/>
        <v>522.52946318865622</v>
      </c>
      <c r="W102" s="233">
        <f t="shared" si="84"/>
        <v>-522.52946318865622</v>
      </c>
      <c r="X102" s="214">
        <f t="shared" si="75"/>
        <v>25.343015970693614</v>
      </c>
      <c r="Y102" s="228">
        <f t="shared" si="85"/>
        <v>457.15376441008738</v>
      </c>
      <c r="Z102" s="229">
        <f t="shared" si="86"/>
        <v>-457.15376441008738</v>
      </c>
      <c r="AA102" s="214">
        <f t="shared" si="76"/>
        <v>111.5254427601252</v>
      </c>
      <c r="AB102" s="264">
        <f t="shared" si="87"/>
        <v>414.06255101537158</v>
      </c>
      <c r="AC102" s="265">
        <f t="shared" si="88"/>
        <v>-414.06255101537158</v>
      </c>
      <c r="AD102" s="214">
        <f>IF($D$9="Par",Path!R102,IF($D$9="Con",Path!U102,IF($D$9="Exp",Path!X102,IF($D$9="Hyp",Path!AA102))))</f>
        <v>25.343015970693614</v>
      </c>
      <c r="AE102" s="6">
        <f>IF(B101&gt;0,K102,"")</f>
        <v>17.168284067855687</v>
      </c>
    </row>
    <row r="103" spans="2:31" x14ac:dyDescent="0.2">
      <c r="B103" s="2"/>
      <c r="C103" s="21">
        <f>Panels!C63</f>
        <v>69.05141530006226</v>
      </c>
      <c r="D103" s="21">
        <f>Panels!D63</f>
        <v>65.4043495042242</v>
      </c>
      <c r="E103" s="23"/>
      <c r="F103" s="22">
        <f>IF(TH!$H$18="x",C103,0)</f>
        <v>69.05141530006226</v>
      </c>
      <c r="G103" s="22">
        <f>IF(TH!$H$18="x",D103,0)</f>
        <v>65.4043495042242</v>
      </c>
      <c r="H103" s="22">
        <f>SUM(C103:C104)/2</f>
        <v>79.295707650031119</v>
      </c>
      <c r="I103" s="22">
        <f>SUM(D103:D104)/2</f>
        <v>65.832102912236593</v>
      </c>
      <c r="J103" s="22">
        <f>IF(TH!$H$17="x",H103,0)</f>
        <v>79.295707650031119</v>
      </c>
      <c r="K103" s="26">
        <f>IF(TH!$H$17="x",I103,0)</f>
        <v>65.832102912236593</v>
      </c>
      <c r="L103" s="34"/>
      <c r="M103" s="22">
        <f t="shared" ref="M103:O103" si="93">M102</f>
        <v>3.902797974307127</v>
      </c>
      <c r="N103" s="22">
        <f t="shared" si="93"/>
        <v>192.19501622652453</v>
      </c>
      <c r="O103" s="35">
        <f t="shared" si="93"/>
        <v>939.65054479086837</v>
      </c>
      <c r="P103" s="10">
        <f t="shared" si="78"/>
        <v>469.82527239543418</v>
      </c>
      <c r="Q103" s="10">
        <f t="shared" si="79"/>
        <v>-469.82527239543418</v>
      </c>
      <c r="R103" s="214">
        <f t="shared" si="73"/>
        <v>-231.64530710910196</v>
      </c>
      <c r="S103" s="224">
        <f t="shared" si="83"/>
        <v>585.64792594998517</v>
      </c>
      <c r="T103" s="225">
        <f t="shared" si="80"/>
        <v>-585.64792594998517</v>
      </c>
      <c r="U103" s="214">
        <f t="shared" si="74"/>
        <v>-105.40838158644408</v>
      </c>
      <c r="V103" s="232">
        <f t="shared" si="81"/>
        <v>522.52946318865622</v>
      </c>
      <c r="W103" s="233">
        <f t="shared" si="84"/>
        <v>-522.52946318865622</v>
      </c>
      <c r="X103" s="214">
        <f t="shared" si="75"/>
        <v>25.343015970693614</v>
      </c>
      <c r="Y103" s="228">
        <f t="shared" si="85"/>
        <v>457.15376441008738</v>
      </c>
      <c r="Z103" s="229">
        <f t="shared" si="86"/>
        <v>-457.15376441008738</v>
      </c>
      <c r="AA103" s="214">
        <f t="shared" si="76"/>
        <v>111.5254427601252</v>
      </c>
      <c r="AB103" s="264">
        <f t="shared" si="87"/>
        <v>414.06255101537158</v>
      </c>
      <c r="AC103" s="265">
        <f t="shared" si="88"/>
        <v>-414.06255101537158</v>
      </c>
      <c r="AD103" s="214">
        <f>IF($D$9="Par",Path!R103,IF($D$9="Con",Path!U103,IF($D$9="Exp",Path!X103,IF($D$9="Hyp",Path!AA103))))</f>
        <v>25.343015970693614</v>
      </c>
      <c r="AE103" s="6">
        <f>IF(B104&gt;0,K103,"")</f>
        <v>65.832102912236593</v>
      </c>
    </row>
    <row r="104" spans="2:31" x14ac:dyDescent="0.2">
      <c r="B104" s="5">
        <f>B101+1</f>
        <v>27</v>
      </c>
      <c r="C104" s="25">
        <f>C101</f>
        <v>89.539999999999992</v>
      </c>
      <c r="D104" s="26">
        <f>D103+(C104-C103)*E23</f>
        <v>66.259856320248986</v>
      </c>
      <c r="E104" s="27"/>
      <c r="F104" s="26">
        <f>IF(TH!$H$18="x",C104,0)</f>
        <v>89.539999999999992</v>
      </c>
      <c r="G104" s="26">
        <f>IF(TH!$H$18="x",D104,0)</f>
        <v>66.259856320248986</v>
      </c>
      <c r="H104" s="26"/>
      <c r="I104" s="26"/>
      <c r="J104" s="26">
        <f>J103</f>
        <v>79.295707650031119</v>
      </c>
      <c r="K104" s="26">
        <f>K103</f>
        <v>65.832102912236593</v>
      </c>
      <c r="L104" s="32"/>
      <c r="M104" s="26">
        <f t="shared" ref="M104:O104" si="94">M103</f>
        <v>3.902797974307127</v>
      </c>
      <c r="N104" s="26">
        <f t="shared" si="94"/>
        <v>192.19501622652453</v>
      </c>
      <c r="O104" s="33">
        <f t="shared" si="94"/>
        <v>939.65054479086837</v>
      </c>
      <c r="P104" s="10">
        <f t="shared" si="78"/>
        <v>469.82527239543418</v>
      </c>
      <c r="Q104" s="10">
        <f t="shared" si="79"/>
        <v>-469.82527239543418</v>
      </c>
      <c r="R104" s="214">
        <f t="shared" si="73"/>
        <v>-231.64530710910196</v>
      </c>
      <c r="S104" s="224">
        <f t="shared" si="83"/>
        <v>585.64792594998517</v>
      </c>
      <c r="T104" s="225">
        <f t="shared" si="80"/>
        <v>-585.64792594998517</v>
      </c>
      <c r="U104" s="214">
        <f t="shared" si="74"/>
        <v>-105.40838158644408</v>
      </c>
      <c r="V104" s="232">
        <f t="shared" si="81"/>
        <v>522.52946318865622</v>
      </c>
      <c r="W104" s="233">
        <f t="shared" si="84"/>
        <v>-522.52946318865622</v>
      </c>
      <c r="X104" s="214">
        <f t="shared" si="75"/>
        <v>25.343015970693614</v>
      </c>
      <c r="Y104" s="228">
        <f t="shared" si="85"/>
        <v>457.15376441008738</v>
      </c>
      <c r="Z104" s="229">
        <f t="shared" si="86"/>
        <v>-457.15376441008738</v>
      </c>
      <c r="AA104" s="214">
        <f t="shared" si="76"/>
        <v>111.5254427601252</v>
      </c>
      <c r="AB104" s="264">
        <f t="shared" si="87"/>
        <v>414.06255101537158</v>
      </c>
      <c r="AC104" s="265">
        <f t="shared" si="88"/>
        <v>-414.06255101537158</v>
      </c>
      <c r="AD104" s="214">
        <f>IF($D$9="Par",Path!R104,IF($D$9="Con",Path!U104,IF($D$9="Exp",Path!X104,IF($D$9="Hyp",Path!AA104))))</f>
        <v>25.343015970693614</v>
      </c>
      <c r="AE104" s="6">
        <f>IF(B104&gt;0,K104,"")</f>
        <v>65.832102912236593</v>
      </c>
    </row>
    <row r="105" spans="2:31" x14ac:dyDescent="0.2">
      <c r="B105" s="2"/>
      <c r="C105" s="42"/>
      <c r="D105" s="43"/>
      <c r="E105" s="43"/>
      <c r="F105" s="43"/>
      <c r="G105" s="43"/>
      <c r="H105" s="43"/>
      <c r="I105" s="43"/>
      <c r="J105" s="39">
        <f>J104</f>
        <v>79.295707650031119</v>
      </c>
      <c r="K105" s="39">
        <f>K104</f>
        <v>65.832102912236593</v>
      </c>
      <c r="L105" s="32"/>
      <c r="M105" s="39">
        <f>((H103-H100)^2+(I103-I100)^2)^0.5</f>
        <v>48.706223158723624</v>
      </c>
      <c r="N105" s="39">
        <f>N102+M105</f>
        <v>240.90123938524815</v>
      </c>
      <c r="O105" s="33">
        <f>((C103-C104)^2+(D103-D104)^2)^0.5*Path!$F$3</f>
        <v>1172.1479897678146</v>
      </c>
      <c r="P105" s="10">
        <f t="shared" si="78"/>
        <v>586.07399488390729</v>
      </c>
      <c r="Q105" s="10">
        <f t="shared" si="79"/>
        <v>-586.07399488390729</v>
      </c>
      <c r="R105" s="214">
        <f t="shared" si="73"/>
        <v>-232.12858369116361</v>
      </c>
      <c r="S105" s="224">
        <f t="shared" si="83"/>
        <v>702.1382867294891</v>
      </c>
      <c r="T105" s="225">
        <f t="shared" si="80"/>
        <v>-702.1382867294891</v>
      </c>
      <c r="U105" s="214">
        <f t="shared" si="74"/>
        <v>-126.94016641850772</v>
      </c>
      <c r="V105" s="232">
        <f t="shared" si="81"/>
        <v>649.54407809316115</v>
      </c>
      <c r="W105" s="233">
        <f t="shared" si="84"/>
        <v>-649.54407809316115</v>
      </c>
      <c r="X105" s="214">
        <f t="shared" si="75"/>
        <v>-5.1358445489313453E-5</v>
      </c>
      <c r="Y105" s="228">
        <f t="shared" si="85"/>
        <v>586.07402056313003</v>
      </c>
      <c r="Z105" s="229">
        <f t="shared" si="86"/>
        <v>-586.07402056313003</v>
      </c>
      <c r="AA105" s="214">
        <f t="shared" si="76"/>
        <v>85.53555187049119</v>
      </c>
      <c r="AB105" s="264">
        <f t="shared" si="87"/>
        <v>543.30621894866169</v>
      </c>
      <c r="AC105" s="265">
        <f t="shared" si="88"/>
        <v>-543.30621894866169</v>
      </c>
      <c r="AD105" s="214">
        <f>IF($D$9="Par",Path!R105,IF($D$9="Con",Path!U105,IF($D$9="Exp",Path!X105,IF($D$9="Hyp",Path!AA105))))</f>
        <v>-5.1358445489313453E-5</v>
      </c>
      <c r="AE105" s="6">
        <f>IF(B104&gt;0,K105,"")</f>
        <v>65.832102912236593</v>
      </c>
    </row>
    <row r="106" spans="2:31" x14ac:dyDescent="0.2">
      <c r="B106" s="2"/>
      <c r="C106" s="21">
        <f>C103</f>
        <v>69.05141530006226</v>
      </c>
      <c r="D106" s="21">
        <f>D103</f>
        <v>65.4043495042242</v>
      </c>
      <c r="E106" s="23"/>
      <c r="F106" s="22">
        <f>IF(TH!$H$18="x",C106,0)</f>
        <v>69.05141530006226</v>
      </c>
      <c r="G106" s="22">
        <f>IF(TH!$H$18="x",D106,0)</f>
        <v>65.4043495042242</v>
      </c>
      <c r="H106" s="22">
        <f>SUM(C106:C107)/2</f>
        <v>79.295707650031119</v>
      </c>
      <c r="I106" s="22">
        <f>SUM(D106:D107)/2</f>
        <v>71.652138832174344</v>
      </c>
      <c r="J106" s="22">
        <f>IF(TH!$H$17="x",H106,0)</f>
        <v>79.295707650031119</v>
      </c>
      <c r="K106" s="26">
        <f>IF(TH!$H$17="x",I106,0)</f>
        <v>71.652138832174344</v>
      </c>
      <c r="L106" s="34"/>
      <c r="M106" s="22">
        <f t="shared" ref="M106:O106" si="95">M105</f>
        <v>48.706223158723624</v>
      </c>
      <c r="N106" s="22">
        <f t="shared" si="95"/>
        <v>240.90123938524815</v>
      </c>
      <c r="O106" s="35">
        <f t="shared" si="95"/>
        <v>1172.1479897678146</v>
      </c>
      <c r="P106" s="10">
        <f t="shared" si="78"/>
        <v>586.07399488390729</v>
      </c>
      <c r="Q106" s="10">
        <f t="shared" si="79"/>
        <v>-586.07399488390729</v>
      </c>
      <c r="R106" s="214">
        <f t="shared" si="73"/>
        <v>-232.12858369116361</v>
      </c>
      <c r="S106" s="224">
        <f t="shared" si="83"/>
        <v>702.1382867294891</v>
      </c>
      <c r="T106" s="225">
        <f t="shared" si="80"/>
        <v>-702.1382867294891</v>
      </c>
      <c r="U106" s="214">
        <f t="shared" si="74"/>
        <v>-126.94016641850772</v>
      </c>
      <c r="V106" s="232">
        <f t="shared" si="81"/>
        <v>649.54407809316115</v>
      </c>
      <c r="W106" s="233">
        <f t="shared" si="84"/>
        <v>-649.54407809316115</v>
      </c>
      <c r="X106" s="214">
        <f t="shared" si="75"/>
        <v>-5.1358445489313453E-5</v>
      </c>
      <c r="Y106" s="228">
        <f t="shared" si="85"/>
        <v>586.07402056313003</v>
      </c>
      <c r="Z106" s="229">
        <f t="shared" si="86"/>
        <v>-586.07402056313003</v>
      </c>
      <c r="AA106" s="214">
        <f t="shared" si="76"/>
        <v>85.53555187049119</v>
      </c>
      <c r="AB106" s="264">
        <f t="shared" si="87"/>
        <v>543.30621894866169</v>
      </c>
      <c r="AC106" s="265">
        <f t="shared" si="88"/>
        <v>-543.30621894866169</v>
      </c>
      <c r="AD106" s="214">
        <f>IF($D$9="Par",Path!R106,IF($D$9="Con",Path!U106,IF($D$9="Exp",Path!X106,IF($D$9="Hyp",Path!AA106))))</f>
        <v>-5.1358445489313453E-5</v>
      </c>
      <c r="AE106" s="6">
        <f>IF(B107&gt;0,K106,"")</f>
        <v>71.652138832174344</v>
      </c>
    </row>
    <row r="107" spans="2:31" x14ac:dyDescent="0.2">
      <c r="B107" s="5">
        <f>B104+1</f>
        <v>28</v>
      </c>
      <c r="C107" s="25">
        <f>C104</f>
        <v>89.539999999999992</v>
      </c>
      <c r="D107" s="26">
        <f>(D104+Panels!D32)/2</f>
        <v>77.899928160124489</v>
      </c>
      <c r="E107" s="27"/>
      <c r="F107" s="26">
        <f>IF(TH!$H$18="x",C107,0)</f>
        <v>89.539999999999992</v>
      </c>
      <c r="G107" s="26">
        <f>IF(TH!$H$18="x",D107,0)</f>
        <v>77.899928160124489</v>
      </c>
      <c r="H107" s="26"/>
      <c r="I107" s="26"/>
      <c r="J107" s="26">
        <f>J106</f>
        <v>79.295707650031119</v>
      </c>
      <c r="K107" s="26">
        <f>K106</f>
        <v>71.652138832174344</v>
      </c>
      <c r="L107" s="32"/>
      <c r="M107" s="26">
        <f t="shared" ref="M107:O107" si="96">M106</f>
        <v>48.706223158723624</v>
      </c>
      <c r="N107" s="26">
        <f t="shared" si="96"/>
        <v>240.90123938524815</v>
      </c>
      <c r="O107" s="33">
        <f t="shared" si="96"/>
        <v>1172.1479897678146</v>
      </c>
      <c r="P107" s="10">
        <f t="shared" si="78"/>
        <v>586.07399488390729</v>
      </c>
      <c r="Q107" s="10">
        <f t="shared" si="79"/>
        <v>-586.07399488390729</v>
      </c>
      <c r="R107" s="214">
        <f t="shared" si="73"/>
        <v>-232.12858369116361</v>
      </c>
      <c r="S107" s="224">
        <f t="shared" si="83"/>
        <v>702.1382867294891</v>
      </c>
      <c r="T107" s="225">
        <f t="shared" si="80"/>
        <v>-702.1382867294891</v>
      </c>
      <c r="U107" s="214">
        <f t="shared" si="74"/>
        <v>-126.94016641850772</v>
      </c>
      <c r="V107" s="232">
        <f t="shared" si="81"/>
        <v>649.54407809316115</v>
      </c>
      <c r="W107" s="233">
        <f t="shared" si="84"/>
        <v>-649.54407809316115</v>
      </c>
      <c r="X107" s="214">
        <f t="shared" si="75"/>
        <v>-5.1358445489313453E-5</v>
      </c>
      <c r="Y107" s="228">
        <f t="shared" si="85"/>
        <v>586.07402056313003</v>
      </c>
      <c r="Z107" s="229">
        <f t="shared" si="86"/>
        <v>-586.07402056313003</v>
      </c>
      <c r="AA107" s="214">
        <f t="shared" si="76"/>
        <v>85.53555187049119</v>
      </c>
      <c r="AB107" s="264">
        <f t="shared" si="87"/>
        <v>543.30621894866169</v>
      </c>
      <c r="AC107" s="265">
        <f t="shared" si="88"/>
        <v>-543.30621894866169</v>
      </c>
      <c r="AD107" s="214">
        <f>IF($D$9="Par",Path!R107,IF($D$9="Con",Path!U107,IF($D$9="Exp",Path!X107,IF($D$9="Hyp",Path!AA107))))</f>
        <v>-5.1358445489313453E-5</v>
      </c>
      <c r="AE107" s="6">
        <f>IF(B107&gt;0,K107,"")</f>
        <v>71.652138832174344</v>
      </c>
    </row>
    <row r="108" spans="2:31" x14ac:dyDescent="0.2">
      <c r="B108" s="2"/>
      <c r="C108" s="42"/>
      <c r="D108" s="43"/>
      <c r="E108" s="43"/>
      <c r="F108" s="43"/>
      <c r="G108" s="43"/>
      <c r="H108" s="43"/>
      <c r="I108" s="43"/>
      <c r="J108" s="39">
        <f>J107</f>
        <v>79.295707650031119</v>
      </c>
      <c r="K108" s="39">
        <f>K107</f>
        <v>71.652138832174344</v>
      </c>
      <c r="L108" s="32"/>
      <c r="M108" s="39">
        <f>((H106-H103)^2+(I106-I103)^2)^0.5</f>
        <v>5.8200359199377516</v>
      </c>
      <c r="N108" s="39">
        <f>N105+M108</f>
        <v>246.72127530518588</v>
      </c>
      <c r="O108" s="33">
        <f>((C106-C107)^2+(D106-D107)^2)^0.5*Path!$F$3</f>
        <v>1371.7466223327228</v>
      </c>
      <c r="P108" s="10">
        <f t="shared" si="78"/>
        <v>685.87331116636142</v>
      </c>
      <c r="Q108" s="10">
        <f t="shared" si="79"/>
        <v>-685.87331116636142</v>
      </c>
      <c r="R108" s="214">
        <f t="shared" si="73"/>
        <v>-60.369436107623187</v>
      </c>
      <c r="S108" s="224">
        <f t="shared" si="83"/>
        <v>716.05802922017301</v>
      </c>
      <c r="T108" s="225">
        <f t="shared" si="80"/>
        <v>-716.05802922017301</v>
      </c>
      <c r="U108" s="214">
        <f t="shared" si="74"/>
        <v>40.457141895945142</v>
      </c>
      <c r="V108" s="232">
        <f t="shared" si="81"/>
        <v>665.64474021838885</v>
      </c>
      <c r="W108" s="233">
        <f t="shared" si="84"/>
        <v>-665.64474021838885</v>
      </c>
      <c r="X108" s="214">
        <f t="shared" si="75"/>
        <v>164.28162792542412</v>
      </c>
      <c r="Y108" s="228">
        <f t="shared" si="85"/>
        <v>603.73249720364936</v>
      </c>
      <c r="Z108" s="229">
        <f t="shared" si="86"/>
        <v>-603.73249720364936</v>
      </c>
      <c r="AA108" s="214">
        <f t="shared" si="76"/>
        <v>248.03101079396743</v>
      </c>
      <c r="AB108" s="264">
        <f t="shared" si="87"/>
        <v>561.85780576937771</v>
      </c>
      <c r="AC108" s="265">
        <f t="shared" si="88"/>
        <v>-561.85780576937771</v>
      </c>
      <c r="AD108" s="214">
        <f>IF($D$9="Par",Path!R108,IF($D$9="Con",Path!U108,IF($D$9="Exp",Path!X108,IF($D$9="Hyp",Path!AA108))))</f>
        <v>164.28162792542412</v>
      </c>
      <c r="AE108" s="6">
        <f>IF(B107&gt;0,K108,"")</f>
        <v>71.652138832174344</v>
      </c>
    </row>
    <row r="109" spans="2:31" x14ac:dyDescent="0.2">
      <c r="B109" s="2"/>
      <c r="C109" s="21">
        <f>C106</f>
        <v>69.05141530006226</v>
      </c>
      <c r="D109" s="21">
        <f>D106</f>
        <v>65.4043495042242</v>
      </c>
      <c r="E109" s="23"/>
      <c r="F109" s="22">
        <f>IF(TH!$H$18="x",C109,0)</f>
        <v>69.05141530006226</v>
      </c>
      <c r="G109" s="22">
        <f>IF(TH!$H$18="x",D109,0)</f>
        <v>65.4043495042242</v>
      </c>
      <c r="H109" s="22">
        <f>SUM(C109:C110)/2</f>
        <v>73.92161369765347</v>
      </c>
      <c r="I109" s="22">
        <f>SUM(D109:D110)/2</f>
        <v>77.472174752112096</v>
      </c>
      <c r="J109" s="22">
        <f>IF(TH!$H$17="x",H109,0)</f>
        <v>73.92161369765347</v>
      </c>
      <c r="K109" s="26">
        <f>IF(TH!$H$17="x",I109,0)</f>
        <v>77.472174752112096</v>
      </c>
      <c r="L109" s="34"/>
      <c r="M109" s="22">
        <f t="shared" ref="M109:O109" si="97">M108</f>
        <v>5.8200359199377516</v>
      </c>
      <c r="N109" s="22">
        <f t="shared" si="97"/>
        <v>246.72127530518588</v>
      </c>
      <c r="O109" s="35">
        <f t="shared" si="97"/>
        <v>1371.7466223327228</v>
      </c>
      <c r="P109" s="10">
        <f t="shared" si="78"/>
        <v>685.87331116636142</v>
      </c>
      <c r="Q109" s="10">
        <f t="shared" si="79"/>
        <v>-685.87331116636142</v>
      </c>
      <c r="R109" s="214">
        <f t="shared" si="73"/>
        <v>-60.369436107623187</v>
      </c>
      <c r="S109" s="224">
        <f t="shared" si="83"/>
        <v>716.05802922017301</v>
      </c>
      <c r="T109" s="225">
        <f t="shared" si="80"/>
        <v>-716.05802922017301</v>
      </c>
      <c r="U109" s="214">
        <f t="shared" si="74"/>
        <v>40.457141895945142</v>
      </c>
      <c r="V109" s="232">
        <f t="shared" si="81"/>
        <v>665.64474021838885</v>
      </c>
      <c r="W109" s="233">
        <f t="shared" si="84"/>
        <v>-665.64474021838885</v>
      </c>
      <c r="X109" s="214">
        <f t="shared" si="75"/>
        <v>164.28162792542412</v>
      </c>
      <c r="Y109" s="228">
        <f t="shared" si="85"/>
        <v>603.73249720364936</v>
      </c>
      <c r="Z109" s="229">
        <f t="shared" si="86"/>
        <v>-603.73249720364936</v>
      </c>
      <c r="AA109" s="214">
        <f t="shared" si="76"/>
        <v>248.03101079396743</v>
      </c>
      <c r="AB109" s="264">
        <f t="shared" si="87"/>
        <v>561.85780576937771</v>
      </c>
      <c r="AC109" s="265">
        <f t="shared" si="88"/>
        <v>-561.85780576937771</v>
      </c>
      <c r="AD109" s="214">
        <f>IF($D$9="Par",Path!R109,IF($D$9="Con",Path!U109,IF($D$9="Exp",Path!X109,IF($D$9="Hyp",Path!AA109))))</f>
        <v>164.28162792542412</v>
      </c>
      <c r="AE109" s="6">
        <f>IF(B110&gt;0,K109,"")</f>
        <v>77.472174752112096</v>
      </c>
    </row>
    <row r="110" spans="2:31" x14ac:dyDescent="0.2">
      <c r="B110" s="5">
        <f>B107+1</f>
        <v>29</v>
      </c>
      <c r="C110" s="25">
        <f>(C113+Panels!C32)/2</f>
        <v>78.79181209524468</v>
      </c>
      <c r="D110" s="26">
        <f>D113</f>
        <v>89.539999999999992</v>
      </c>
      <c r="E110" s="27"/>
      <c r="F110" s="26">
        <f>IF(TH!$H$18="x",C110,0)</f>
        <v>78.79181209524468</v>
      </c>
      <c r="G110" s="26">
        <f>IF(TH!$H$18="x",D110,0)</f>
        <v>89.539999999999992</v>
      </c>
      <c r="H110" s="26"/>
      <c r="I110" s="26"/>
      <c r="J110" s="26">
        <f>J109</f>
        <v>73.92161369765347</v>
      </c>
      <c r="K110" s="26">
        <f>K109</f>
        <v>77.472174752112096</v>
      </c>
      <c r="L110" s="32"/>
      <c r="M110" s="26">
        <f t="shared" ref="M110:O110" si="98">M109</f>
        <v>5.8200359199377516</v>
      </c>
      <c r="N110" s="26">
        <f t="shared" si="98"/>
        <v>246.72127530518588</v>
      </c>
      <c r="O110" s="33">
        <f t="shared" si="98"/>
        <v>1371.7466223327228</v>
      </c>
      <c r="P110" s="10">
        <f t="shared" si="78"/>
        <v>685.87331116636142</v>
      </c>
      <c r="Q110" s="10">
        <f t="shared" si="79"/>
        <v>-685.87331116636142</v>
      </c>
      <c r="R110" s="214">
        <f t="shared" si="73"/>
        <v>-60.369436107623187</v>
      </c>
      <c r="S110" s="224">
        <f t="shared" si="83"/>
        <v>716.05802922017301</v>
      </c>
      <c r="T110" s="225">
        <f t="shared" si="80"/>
        <v>-716.05802922017301</v>
      </c>
      <c r="U110" s="214">
        <f t="shared" si="74"/>
        <v>40.457141895945142</v>
      </c>
      <c r="V110" s="232">
        <f t="shared" si="81"/>
        <v>665.64474021838885</v>
      </c>
      <c r="W110" s="233">
        <f t="shared" si="84"/>
        <v>-665.64474021838885</v>
      </c>
      <c r="X110" s="214">
        <f t="shared" si="75"/>
        <v>164.28162792542412</v>
      </c>
      <c r="Y110" s="228">
        <f t="shared" si="85"/>
        <v>603.73249720364936</v>
      </c>
      <c r="Z110" s="229">
        <f t="shared" si="86"/>
        <v>-603.73249720364936</v>
      </c>
      <c r="AA110" s="214">
        <f t="shared" si="76"/>
        <v>248.03101079396743</v>
      </c>
      <c r="AB110" s="264">
        <f t="shared" si="87"/>
        <v>561.85780576937771</v>
      </c>
      <c r="AC110" s="265">
        <f t="shared" si="88"/>
        <v>-561.85780576937771</v>
      </c>
      <c r="AD110" s="214">
        <f>IF($D$9="Par",Path!R110,IF($D$9="Con",Path!U110,IF($D$9="Exp",Path!X110,IF($D$9="Hyp",Path!AA110))))</f>
        <v>164.28162792542412</v>
      </c>
      <c r="AE110" s="6">
        <f>IF(B110&gt;0,K110,"")</f>
        <v>77.472174752112096</v>
      </c>
    </row>
    <row r="111" spans="2:31" x14ac:dyDescent="0.2">
      <c r="B111" s="2"/>
      <c r="C111" s="42"/>
      <c r="D111" s="43"/>
      <c r="E111" s="43"/>
      <c r="F111" s="43"/>
      <c r="G111" s="43"/>
      <c r="H111" s="43"/>
      <c r="I111" s="43"/>
      <c r="J111" s="39">
        <f>J110</f>
        <v>73.92161369765347</v>
      </c>
      <c r="K111" s="39">
        <f>K110</f>
        <v>77.472174752112096</v>
      </c>
      <c r="L111" s="32"/>
      <c r="M111" s="39">
        <f>((H109-H106)^2+(I109-I106)^2)^0.5</f>
        <v>7.9217235446806455</v>
      </c>
      <c r="N111" s="39">
        <f>N108+M111</f>
        <v>254.64299884986653</v>
      </c>
      <c r="O111" s="33">
        <f>((C109-C110)^2+(D109-D110)^2)^0.5*Path!$F$3</f>
        <v>1487.7035677092449</v>
      </c>
      <c r="P111" s="10">
        <f t="shared" si="78"/>
        <v>743.85178385462245</v>
      </c>
      <c r="Q111" s="10">
        <f t="shared" si="79"/>
        <v>-743.85178385462245</v>
      </c>
      <c r="R111" s="214">
        <f t="shared" si="73"/>
        <v>17.694838728294371</v>
      </c>
      <c r="S111" s="224">
        <f t="shared" si="83"/>
        <v>735.00436449047527</v>
      </c>
      <c r="T111" s="225">
        <f t="shared" si="80"/>
        <v>-735.00436449047527</v>
      </c>
      <c r="U111" s="214">
        <f t="shared" si="74"/>
        <v>111.95099244384551</v>
      </c>
      <c r="V111" s="232">
        <f t="shared" si="81"/>
        <v>687.8762876326997</v>
      </c>
      <c r="W111" s="233">
        <f t="shared" si="84"/>
        <v>-687.8762876326997</v>
      </c>
      <c r="X111" s="214">
        <f t="shared" si="75"/>
        <v>230.45217920363666</v>
      </c>
      <c r="Y111" s="228">
        <f t="shared" si="85"/>
        <v>628.62569425280412</v>
      </c>
      <c r="Z111" s="229">
        <f t="shared" si="86"/>
        <v>-628.62569425280412</v>
      </c>
      <c r="AA111" s="214">
        <f t="shared" si="76"/>
        <v>311.04362194460646</v>
      </c>
      <c r="AB111" s="264">
        <f t="shared" si="87"/>
        <v>588.32997288231923</v>
      </c>
      <c r="AC111" s="265">
        <f t="shared" si="88"/>
        <v>-588.32997288231923</v>
      </c>
      <c r="AD111" s="214">
        <f>IF($D$9="Par",Path!R111,IF($D$9="Con",Path!U111,IF($D$9="Exp",Path!X111,IF($D$9="Hyp",Path!AA111))))</f>
        <v>230.45217920363666</v>
      </c>
      <c r="AE111" s="6">
        <f>IF(B110&gt;0,K111,"")</f>
        <v>77.472174752112096</v>
      </c>
    </row>
    <row r="112" spans="2:31" x14ac:dyDescent="0.2">
      <c r="B112" s="2"/>
      <c r="C112" s="21">
        <f>C109</f>
        <v>69.05141530006226</v>
      </c>
      <c r="D112" s="22">
        <f>D109</f>
        <v>65.4043495042242</v>
      </c>
      <c r="E112" s="23"/>
      <c r="F112" s="22">
        <f>IF(TH!$H$18="x",C112,0)</f>
        <v>69.05141530006226</v>
      </c>
      <c r="G112" s="22">
        <f>IF(TH!$H$18="x",D112,0)</f>
        <v>65.4043495042242</v>
      </c>
      <c r="H112" s="22">
        <f>SUM(C112:C113)/2</f>
        <v>68.547519745275821</v>
      </c>
      <c r="I112" s="22">
        <f>SUM(D112:D113)/2</f>
        <v>77.472174752112096</v>
      </c>
      <c r="J112" s="22">
        <f>IF(TH!$H$17="x",H112,0)</f>
        <v>68.547519745275821</v>
      </c>
      <c r="K112" s="26">
        <f>IF(TH!$H$17="x",I112,0)</f>
        <v>77.472174752112096</v>
      </c>
      <c r="L112" s="34"/>
      <c r="M112" s="22">
        <f t="shared" ref="M112:O112" si="99">M111</f>
        <v>7.9217235446806455</v>
      </c>
      <c r="N112" s="22">
        <f t="shared" si="99"/>
        <v>254.64299884986653</v>
      </c>
      <c r="O112" s="35">
        <f t="shared" si="99"/>
        <v>1487.7035677092449</v>
      </c>
      <c r="P112" s="10">
        <f t="shared" si="78"/>
        <v>743.85178385462245</v>
      </c>
      <c r="Q112" s="10">
        <f t="shared" si="79"/>
        <v>-743.85178385462245</v>
      </c>
      <c r="R112" s="214">
        <f t="shared" si="73"/>
        <v>17.694838728294371</v>
      </c>
      <c r="S112" s="224">
        <f t="shared" si="83"/>
        <v>735.00436449047527</v>
      </c>
      <c r="T112" s="225">
        <f t="shared" si="80"/>
        <v>-735.00436449047527</v>
      </c>
      <c r="U112" s="214">
        <f t="shared" si="74"/>
        <v>111.95099244384551</v>
      </c>
      <c r="V112" s="232">
        <f t="shared" si="81"/>
        <v>687.8762876326997</v>
      </c>
      <c r="W112" s="233">
        <f t="shared" si="84"/>
        <v>-687.8762876326997</v>
      </c>
      <c r="X112" s="214">
        <f t="shared" si="75"/>
        <v>230.45217920363666</v>
      </c>
      <c r="Y112" s="228">
        <f t="shared" si="85"/>
        <v>628.62569425280412</v>
      </c>
      <c r="Z112" s="229">
        <f t="shared" si="86"/>
        <v>-628.62569425280412</v>
      </c>
      <c r="AA112" s="214">
        <f t="shared" si="76"/>
        <v>311.04362194460646</v>
      </c>
      <c r="AB112" s="264">
        <f t="shared" si="87"/>
        <v>588.32997288231923</v>
      </c>
      <c r="AC112" s="265">
        <f t="shared" si="88"/>
        <v>-588.32997288231923</v>
      </c>
      <c r="AD112" s="214">
        <f>IF($D$9="Par",Path!R112,IF($D$9="Con",Path!U112,IF($D$9="Exp",Path!X112,IF($D$9="Hyp",Path!AA112))))</f>
        <v>230.45217920363666</v>
      </c>
      <c r="AE112" s="6">
        <f>IF(B113&gt;0,K112,"")</f>
        <v>77.472174752112096</v>
      </c>
    </row>
    <row r="113" spans="1:42" x14ac:dyDescent="0.2">
      <c r="B113" s="5">
        <f>B110+1</f>
        <v>30</v>
      </c>
      <c r="C113" s="25">
        <f>C112-(D113-D112)*E23</f>
        <v>68.043624190489368</v>
      </c>
      <c r="D113" s="26">
        <f>Panels!D32</f>
        <v>89.539999999999992</v>
      </c>
      <c r="E113" s="27"/>
      <c r="F113" s="26">
        <f>IF(TH!$H$18="x",C113,0)</f>
        <v>68.043624190489368</v>
      </c>
      <c r="G113" s="26">
        <f>IF(TH!$H$18="x",D113,0)</f>
        <v>89.539999999999992</v>
      </c>
      <c r="H113" s="26"/>
      <c r="I113" s="26"/>
      <c r="J113" s="26">
        <f>J112</f>
        <v>68.547519745275821</v>
      </c>
      <c r="K113" s="26">
        <f>K112</f>
        <v>77.472174752112096</v>
      </c>
      <c r="L113" s="32"/>
      <c r="M113" s="26">
        <f t="shared" ref="M113:O113" si="100">M112</f>
        <v>7.9217235446806455</v>
      </c>
      <c r="N113" s="26">
        <f t="shared" si="100"/>
        <v>254.64299884986653</v>
      </c>
      <c r="O113" s="33">
        <f t="shared" si="100"/>
        <v>1487.7035677092449</v>
      </c>
      <c r="P113" s="10">
        <f t="shared" si="78"/>
        <v>743.85178385462245</v>
      </c>
      <c r="Q113" s="10">
        <f t="shared" si="79"/>
        <v>-743.85178385462245</v>
      </c>
      <c r="R113" s="214">
        <f t="shared" si="73"/>
        <v>17.694838728294371</v>
      </c>
      <c r="S113" s="224">
        <f t="shared" si="83"/>
        <v>735.00436449047527</v>
      </c>
      <c r="T113" s="225">
        <f t="shared" si="80"/>
        <v>-735.00436449047527</v>
      </c>
      <c r="U113" s="214">
        <f t="shared" si="74"/>
        <v>111.95099244384551</v>
      </c>
      <c r="V113" s="232">
        <f t="shared" si="81"/>
        <v>687.8762876326997</v>
      </c>
      <c r="W113" s="233">
        <f t="shared" si="84"/>
        <v>-687.8762876326997</v>
      </c>
      <c r="X113" s="214">
        <f t="shared" si="75"/>
        <v>230.45217920363666</v>
      </c>
      <c r="Y113" s="228">
        <f t="shared" si="85"/>
        <v>628.62569425280412</v>
      </c>
      <c r="Z113" s="229">
        <f t="shared" si="86"/>
        <v>-628.62569425280412</v>
      </c>
      <c r="AA113" s="214">
        <f t="shared" si="76"/>
        <v>311.04362194460646</v>
      </c>
      <c r="AB113" s="264">
        <f t="shared" si="87"/>
        <v>588.32997288231923</v>
      </c>
      <c r="AC113" s="265">
        <f t="shared" si="88"/>
        <v>-588.32997288231923</v>
      </c>
      <c r="AD113" s="214">
        <f>IF($D$9="Par",Path!R113,IF($D$9="Con",Path!U113,IF($D$9="Exp",Path!X113,IF($D$9="Hyp",Path!AA113))))</f>
        <v>230.45217920363666</v>
      </c>
      <c r="AE113" s="6">
        <f>IF(B113&gt;0,K113,"")</f>
        <v>77.472174752112096</v>
      </c>
    </row>
    <row r="114" spans="1:42" x14ac:dyDescent="0.2">
      <c r="B114" s="2"/>
      <c r="C114" s="41"/>
      <c r="D114" s="27"/>
      <c r="E114" s="27"/>
      <c r="F114" s="43"/>
      <c r="G114" s="43"/>
      <c r="H114" s="43"/>
      <c r="I114" s="43"/>
      <c r="J114" s="26">
        <f>J113</f>
        <v>68.547519745275821</v>
      </c>
      <c r="K114" s="26">
        <f>K113</f>
        <v>77.472174752112096</v>
      </c>
      <c r="L114" s="32"/>
      <c r="M114" s="39">
        <f>((H112-H109)^2+(I112-I109)^2)^0.5</f>
        <v>5.374093952377649</v>
      </c>
      <c r="N114" s="39">
        <f>N111+M114</f>
        <v>260.01709280224418</v>
      </c>
      <c r="O114" s="33">
        <f>((C112-C113)^2+(D112-D113)^2)^0.5*Path!$F$3</f>
        <v>1380.7959224459332</v>
      </c>
      <c r="P114" s="10">
        <f t="shared" si="78"/>
        <v>690.39796122296661</v>
      </c>
      <c r="Q114" s="10">
        <f t="shared" si="79"/>
        <v>-690.39796122296661</v>
      </c>
      <c r="R114" s="214">
        <f t="shared" si="73"/>
        <v>-114.91917844298973</v>
      </c>
      <c r="S114" s="224">
        <f t="shared" si="83"/>
        <v>747.85755044446148</v>
      </c>
      <c r="T114" s="225">
        <f t="shared" si="80"/>
        <v>-747.85755044446148</v>
      </c>
      <c r="U114" s="214">
        <f t="shared" si="74"/>
        <v>-25.536197944312789</v>
      </c>
      <c r="V114" s="232">
        <f t="shared" si="81"/>
        <v>703.16606019512301</v>
      </c>
      <c r="W114" s="233">
        <f t="shared" si="84"/>
        <v>-703.16606019512301</v>
      </c>
      <c r="X114" s="214">
        <f t="shared" si="75"/>
        <v>88.605875854440001</v>
      </c>
      <c r="Y114" s="228">
        <f t="shared" si="85"/>
        <v>646.09502329574661</v>
      </c>
      <c r="Z114" s="229">
        <f t="shared" si="86"/>
        <v>-646.09502329574661</v>
      </c>
      <c r="AA114" s="214">
        <f t="shared" si="76"/>
        <v>166.54525085431646</v>
      </c>
      <c r="AB114" s="264">
        <f t="shared" si="87"/>
        <v>607.12533579580838</v>
      </c>
      <c r="AC114" s="265">
        <f t="shared" si="88"/>
        <v>-607.12533579580838</v>
      </c>
      <c r="AD114" s="214">
        <f>IF($D$9="Par",Path!R114,IF($D$9="Con",Path!U114,IF($D$9="Exp",Path!X114,IF($D$9="Hyp",Path!AA114))))</f>
        <v>88.605875854440001</v>
      </c>
      <c r="AE114" s="6">
        <f>IF(B113&gt;0,K114,"")</f>
        <v>77.472174752112096</v>
      </c>
    </row>
    <row r="115" spans="1:42" x14ac:dyDescent="0.2">
      <c r="B115" s="2"/>
      <c r="C115" s="21">
        <f>Panels!C38</f>
        <v>33.145189725885267</v>
      </c>
      <c r="D115" s="21">
        <f>Panels!D38</f>
        <v>62.400562594681304</v>
      </c>
      <c r="E115" s="23"/>
      <c r="F115" s="22">
        <f>IF(TH!$H$18="x",C115,0)</f>
        <v>33.145189725885267</v>
      </c>
      <c r="G115" s="22">
        <f>IF(TH!$H$18="x",D115,0)</f>
        <v>62.400562594681304</v>
      </c>
      <c r="H115" s="22">
        <f>SUM(C115:C116)/2</f>
        <v>32.578582172865779</v>
      </c>
      <c r="I115" s="22">
        <f>SUM(D115:D116)/2</f>
        <v>75.970281297340648</v>
      </c>
      <c r="J115" s="22">
        <f>IF(TH!$H$17="x",H115,0)</f>
        <v>32.578582172865779</v>
      </c>
      <c r="K115" s="22">
        <f>IF(TH!$H$17="x",I115,0)</f>
        <v>75.970281297340648</v>
      </c>
      <c r="L115" s="34"/>
      <c r="M115" s="22">
        <f t="shared" ref="M115:O115" si="101">M114</f>
        <v>5.374093952377649</v>
      </c>
      <c r="N115" s="22">
        <f t="shared" si="101"/>
        <v>260.01709280224418</v>
      </c>
      <c r="O115" s="35">
        <f t="shared" si="101"/>
        <v>1380.7959224459332</v>
      </c>
      <c r="P115" s="10">
        <f t="shared" ref="P115:P138" si="102">O115/2</f>
        <v>690.39796122296661</v>
      </c>
      <c r="Q115" s="10">
        <f t="shared" ref="Q115:Q138" si="103">-P115</f>
        <v>-690.39796122296661</v>
      </c>
      <c r="R115" s="214">
        <f t="shared" si="73"/>
        <v>-114.91917844298973</v>
      </c>
      <c r="S115" s="224">
        <f t="shared" si="83"/>
        <v>747.85755044446148</v>
      </c>
      <c r="T115" s="225">
        <f t="shared" si="80"/>
        <v>-747.85755044446148</v>
      </c>
      <c r="U115" s="214">
        <f t="shared" si="74"/>
        <v>-25.536197944312789</v>
      </c>
      <c r="V115" s="232">
        <f t="shared" si="81"/>
        <v>703.16606019512301</v>
      </c>
      <c r="W115" s="233">
        <f t="shared" si="84"/>
        <v>-703.16606019512301</v>
      </c>
      <c r="X115" s="214">
        <f t="shared" si="75"/>
        <v>88.605875854440001</v>
      </c>
      <c r="Y115" s="228">
        <f t="shared" si="85"/>
        <v>646.09502329574661</v>
      </c>
      <c r="Z115" s="229">
        <f t="shared" si="86"/>
        <v>-646.09502329574661</v>
      </c>
      <c r="AA115" s="214">
        <f t="shared" si="76"/>
        <v>166.54525085431646</v>
      </c>
      <c r="AB115" s="264">
        <f t="shared" si="87"/>
        <v>607.12533579580838</v>
      </c>
      <c r="AC115" s="265">
        <f t="shared" si="88"/>
        <v>-607.12533579580838</v>
      </c>
      <c r="AD115" s="214">
        <f>IF($D$9="Par",Path!R115,IF($D$9="Con",Path!U115,IF($D$9="Exp",Path!X115,IF($D$9="Hyp",Path!AA115))))</f>
        <v>88.605875854440001</v>
      </c>
      <c r="AE115" s="6">
        <f>IF(B116&gt;0,K115,"")</f>
        <v>75.970281297340648</v>
      </c>
    </row>
    <row r="116" spans="1:42" x14ac:dyDescent="0.2">
      <c r="B116" s="5">
        <f>B113+1</f>
        <v>31</v>
      </c>
      <c r="C116" s="25">
        <f>C115-(D116-D115)*E23</f>
        <v>32.011974619846299</v>
      </c>
      <c r="D116" s="26">
        <f>D113</f>
        <v>89.539999999999992</v>
      </c>
      <c r="E116" s="26"/>
      <c r="F116" s="26">
        <f>IF(TH!$H$18="x",C116,0)</f>
        <v>32.011974619846299</v>
      </c>
      <c r="G116" s="26">
        <f>IF(TH!$H$18="x",D116,0)</f>
        <v>89.539999999999992</v>
      </c>
      <c r="H116" s="26"/>
      <c r="I116" s="26"/>
      <c r="J116" s="26">
        <f>J115</f>
        <v>32.578582172865779</v>
      </c>
      <c r="K116" s="26">
        <f>K115</f>
        <v>75.970281297340648</v>
      </c>
      <c r="L116" s="32"/>
      <c r="M116" s="26">
        <f t="shared" ref="M116:O116" si="104">M115</f>
        <v>5.374093952377649</v>
      </c>
      <c r="N116" s="26">
        <f t="shared" si="104"/>
        <v>260.01709280224418</v>
      </c>
      <c r="O116" s="33">
        <f t="shared" si="104"/>
        <v>1380.7959224459332</v>
      </c>
      <c r="P116" s="10">
        <f t="shared" si="102"/>
        <v>690.39796122296661</v>
      </c>
      <c r="Q116" s="10">
        <f t="shared" si="103"/>
        <v>-690.39796122296661</v>
      </c>
      <c r="R116" s="214">
        <f t="shared" si="73"/>
        <v>-114.91917844298973</v>
      </c>
      <c r="S116" s="224">
        <f t="shared" si="83"/>
        <v>747.85755044446148</v>
      </c>
      <c r="T116" s="225">
        <f t="shared" si="80"/>
        <v>-747.85755044446148</v>
      </c>
      <c r="U116" s="214">
        <f t="shared" si="74"/>
        <v>-25.536197944312789</v>
      </c>
      <c r="V116" s="232">
        <f t="shared" si="81"/>
        <v>703.16606019512301</v>
      </c>
      <c r="W116" s="233">
        <f t="shared" si="84"/>
        <v>-703.16606019512301</v>
      </c>
      <c r="X116" s="214">
        <f t="shared" si="75"/>
        <v>88.605875854440001</v>
      </c>
      <c r="Y116" s="228">
        <f t="shared" si="85"/>
        <v>646.09502329574661</v>
      </c>
      <c r="Z116" s="229">
        <f t="shared" si="86"/>
        <v>-646.09502329574661</v>
      </c>
      <c r="AA116" s="214">
        <f t="shared" si="76"/>
        <v>166.54525085431646</v>
      </c>
      <c r="AB116" s="264">
        <f t="shared" si="87"/>
        <v>607.12533579580838</v>
      </c>
      <c r="AC116" s="265">
        <f t="shared" si="88"/>
        <v>-607.12533579580838</v>
      </c>
      <c r="AD116" s="214">
        <f>IF($D$9="Par",Path!R116,IF($D$9="Con",Path!U116,IF($D$9="Exp",Path!X116,IF($D$9="Hyp",Path!AA116))))</f>
        <v>88.605875854440001</v>
      </c>
      <c r="AE116" s="6">
        <f>IF(B116&gt;0,K116,"")</f>
        <v>75.970281297340648</v>
      </c>
    </row>
    <row r="117" spans="1:42" x14ac:dyDescent="0.2">
      <c r="B117" s="2"/>
      <c r="C117" s="42"/>
      <c r="D117" s="43"/>
      <c r="E117" s="43"/>
      <c r="F117" s="43"/>
      <c r="G117" s="43"/>
      <c r="H117" s="43"/>
      <c r="I117" s="43"/>
      <c r="J117" s="39">
        <f>J116</f>
        <v>32.578582172865779</v>
      </c>
      <c r="K117" s="39">
        <f>K116</f>
        <v>75.970281297340648</v>
      </c>
      <c r="L117" s="32"/>
      <c r="M117" s="39">
        <f>((H115-H112)^2+(I115-I112)^2)^0.5</f>
        <v>36.000279916098094</v>
      </c>
      <c r="N117" s="39">
        <f>N114+M117</f>
        <v>296.01737271834224</v>
      </c>
      <c r="O117" s="33">
        <f>((C115-C116)^2+(D115-D116)^2)^0.5*Path!$F$3</f>
        <v>1552.641993771801</v>
      </c>
      <c r="P117" s="10">
        <f t="shared" si="102"/>
        <v>776.32099688590051</v>
      </c>
      <c r="Q117" s="10">
        <f t="shared" si="103"/>
        <v>-776.32099688590051</v>
      </c>
      <c r="R117" s="214">
        <f t="shared" si="73"/>
        <v>-115.27638315119339</v>
      </c>
      <c r="S117" s="224">
        <f t="shared" si="83"/>
        <v>833.95918846149721</v>
      </c>
      <c r="T117" s="225">
        <f t="shared" si="80"/>
        <v>-833.95918846149721</v>
      </c>
      <c r="U117" s="214">
        <f t="shared" si="74"/>
        <v>-67.205741902174168</v>
      </c>
      <c r="V117" s="232">
        <f t="shared" si="81"/>
        <v>809.9238678369876</v>
      </c>
      <c r="W117" s="233">
        <f t="shared" si="84"/>
        <v>-809.9238678369876</v>
      </c>
      <c r="X117" s="214">
        <f t="shared" si="75"/>
        <v>-1.2043416313645139E-4</v>
      </c>
      <c r="Y117" s="228">
        <f t="shared" si="85"/>
        <v>776.32105710298208</v>
      </c>
      <c r="Z117" s="229">
        <f t="shared" si="86"/>
        <v>-776.32105710298208</v>
      </c>
      <c r="AA117" s="214">
        <f t="shared" si="76"/>
        <v>47.557311554576927</v>
      </c>
      <c r="AB117" s="264">
        <f t="shared" si="87"/>
        <v>752.54234110861205</v>
      </c>
      <c r="AC117" s="265">
        <f t="shared" si="88"/>
        <v>-752.54234110861205</v>
      </c>
      <c r="AD117" s="214">
        <f>IF($D$9="Par",Path!R117,IF($D$9="Con",Path!U117,IF($D$9="Exp",Path!X117,IF($D$9="Hyp",Path!AA117))))</f>
        <v>-1.2043416313645139E-4</v>
      </c>
      <c r="AE117" s="6">
        <f>IF(B116&gt;0,K117,"")</f>
        <v>75.970281297340648</v>
      </c>
    </row>
    <row r="118" spans="1:42" x14ac:dyDescent="0.2">
      <c r="B118" s="2"/>
      <c r="C118" s="25">
        <f>C115</f>
        <v>33.145189725885267</v>
      </c>
      <c r="D118" s="26">
        <f>D115</f>
        <v>62.400562594681304</v>
      </c>
      <c r="E118" s="27"/>
      <c r="F118" s="22">
        <f>IF(TH!$H$18="x",C118,0)</f>
        <v>33.145189725885267</v>
      </c>
      <c r="G118" s="22">
        <f>IF(TH!$H$18="x",D118,0)</f>
        <v>62.400562594681304</v>
      </c>
      <c r="H118" s="22">
        <f>SUM(C118:C119)/2</f>
        <v>25.05058851790421</v>
      </c>
      <c r="I118" s="22">
        <f>SUM(D118:D119)/2</f>
        <v>75.970281297340648</v>
      </c>
      <c r="J118" s="26">
        <f>IF(TH!$H$17="x",H118,0)</f>
        <v>25.05058851790421</v>
      </c>
      <c r="K118" s="26">
        <f>IF(TH!$H$17="x",I118,0)</f>
        <v>75.970281297340648</v>
      </c>
      <c r="L118" s="34"/>
      <c r="M118" s="22">
        <f t="shared" ref="M118:O118" si="105">M117</f>
        <v>36.000279916098094</v>
      </c>
      <c r="N118" s="22">
        <f t="shared" si="105"/>
        <v>296.01737271834224</v>
      </c>
      <c r="O118" s="35">
        <f t="shared" si="105"/>
        <v>1552.641993771801</v>
      </c>
      <c r="P118" s="10">
        <f t="shared" si="102"/>
        <v>776.32099688590051</v>
      </c>
      <c r="Q118" s="10">
        <f t="shared" si="103"/>
        <v>-776.32099688590051</v>
      </c>
      <c r="R118" s="214">
        <f t="shared" si="73"/>
        <v>-115.27638315119339</v>
      </c>
      <c r="S118" s="224">
        <f t="shared" si="83"/>
        <v>833.95918846149721</v>
      </c>
      <c r="T118" s="225">
        <f t="shared" si="80"/>
        <v>-833.95918846149721</v>
      </c>
      <c r="U118" s="214">
        <f t="shared" si="74"/>
        <v>-67.205741902174168</v>
      </c>
      <c r="V118" s="232">
        <f t="shared" si="81"/>
        <v>809.9238678369876</v>
      </c>
      <c r="W118" s="233">
        <f t="shared" si="84"/>
        <v>-809.9238678369876</v>
      </c>
      <c r="X118" s="214">
        <f t="shared" si="75"/>
        <v>-1.2043416313645139E-4</v>
      </c>
      <c r="Y118" s="228">
        <f t="shared" si="85"/>
        <v>776.32105710298208</v>
      </c>
      <c r="Z118" s="229">
        <f t="shared" si="86"/>
        <v>-776.32105710298208</v>
      </c>
      <c r="AA118" s="214">
        <f t="shared" si="76"/>
        <v>47.557311554576927</v>
      </c>
      <c r="AB118" s="264">
        <f t="shared" si="87"/>
        <v>752.54234110861205</v>
      </c>
      <c r="AC118" s="265">
        <f t="shared" si="88"/>
        <v>-752.54234110861205</v>
      </c>
      <c r="AD118" s="214">
        <f>IF($D$9="Par",Path!R118,IF($D$9="Con",Path!U118,IF($D$9="Exp",Path!X118,IF($D$9="Hyp",Path!AA118))))</f>
        <v>-1.2043416313645139E-4</v>
      </c>
      <c r="AE118" s="6">
        <f>IF(B119&gt;0,K118,"")</f>
        <v>75.970281297340648</v>
      </c>
    </row>
    <row r="119" spans="1:42" x14ac:dyDescent="0.2">
      <c r="B119" s="5">
        <f>B116+1</f>
        <v>32</v>
      </c>
      <c r="C119" s="25">
        <f>(C122+C116)/2</f>
        <v>16.955987309923149</v>
      </c>
      <c r="D119" s="26">
        <f>D116</f>
        <v>89.539999999999992</v>
      </c>
      <c r="E119" s="27"/>
      <c r="F119" s="26">
        <f>IF(TH!$H$18="x",C119,0)</f>
        <v>16.955987309923149</v>
      </c>
      <c r="G119" s="26">
        <f>IF(TH!$H$18="x",D119,0)</f>
        <v>89.539999999999992</v>
      </c>
      <c r="H119" s="26"/>
      <c r="I119" s="26"/>
      <c r="J119" s="26">
        <f>J118</f>
        <v>25.05058851790421</v>
      </c>
      <c r="K119" s="26">
        <f>K118</f>
        <v>75.970281297340648</v>
      </c>
      <c r="L119" s="32"/>
      <c r="M119" s="26">
        <f t="shared" ref="M119:O119" si="106">M118</f>
        <v>36.000279916098094</v>
      </c>
      <c r="N119" s="26">
        <f t="shared" si="106"/>
        <v>296.01737271834224</v>
      </c>
      <c r="O119" s="33">
        <f t="shared" si="106"/>
        <v>1552.641993771801</v>
      </c>
      <c r="P119" s="10">
        <f t="shared" si="102"/>
        <v>776.32099688590051</v>
      </c>
      <c r="Q119" s="10">
        <f t="shared" si="103"/>
        <v>-776.32099688590051</v>
      </c>
      <c r="R119" s="214">
        <f t="shared" si="73"/>
        <v>-115.27638315119339</v>
      </c>
      <c r="S119" s="224">
        <f t="shared" si="83"/>
        <v>833.95918846149721</v>
      </c>
      <c r="T119" s="225">
        <f t="shared" si="80"/>
        <v>-833.95918846149721</v>
      </c>
      <c r="U119" s="214">
        <f t="shared" si="74"/>
        <v>-67.205741902174168</v>
      </c>
      <c r="V119" s="232">
        <f t="shared" si="81"/>
        <v>809.9238678369876</v>
      </c>
      <c r="W119" s="233">
        <f t="shared" si="84"/>
        <v>-809.9238678369876</v>
      </c>
      <c r="X119" s="214">
        <f t="shared" si="75"/>
        <v>-1.2043416313645139E-4</v>
      </c>
      <c r="Y119" s="228">
        <f t="shared" si="85"/>
        <v>776.32105710298208</v>
      </c>
      <c r="Z119" s="229">
        <f t="shared" si="86"/>
        <v>-776.32105710298208</v>
      </c>
      <c r="AA119" s="214">
        <f t="shared" si="76"/>
        <v>47.557311554576927</v>
      </c>
      <c r="AB119" s="264">
        <f t="shared" si="87"/>
        <v>752.54234110861205</v>
      </c>
      <c r="AC119" s="265">
        <f t="shared" si="88"/>
        <v>-752.54234110861205</v>
      </c>
      <c r="AD119" s="214">
        <f>IF($D$9="Par",Path!R119,IF($D$9="Con",Path!U119,IF($D$9="Exp",Path!X119,IF($D$9="Hyp",Path!AA119))))</f>
        <v>-1.2043416313645139E-4</v>
      </c>
      <c r="AE119" s="6">
        <f>IF(B119&gt;0,K119,"")</f>
        <v>75.970281297340648</v>
      </c>
    </row>
    <row r="120" spans="1:42" x14ac:dyDescent="0.2">
      <c r="B120" s="2"/>
      <c r="C120" s="42"/>
      <c r="D120" s="43"/>
      <c r="E120" s="43"/>
      <c r="F120" s="43"/>
      <c r="G120" s="43"/>
      <c r="H120" s="43"/>
      <c r="I120" s="43"/>
      <c r="J120" s="39">
        <f>J119</f>
        <v>25.05058851790421</v>
      </c>
      <c r="K120" s="39">
        <f>K119</f>
        <v>75.970281297340648</v>
      </c>
      <c r="L120" s="32"/>
      <c r="M120" s="39">
        <f>((H118-H115)^2+(I118-I115)^2)^0.5</f>
        <v>7.5279936549615698</v>
      </c>
      <c r="N120" s="39">
        <f>N117+M120</f>
        <v>303.54536637330381</v>
      </c>
      <c r="O120" s="33">
        <f>((C118-C119)^2+(D118-D119)^2)^0.5*Path!$F$3</f>
        <v>1806.327753858207</v>
      </c>
      <c r="P120" s="10">
        <f t="shared" si="102"/>
        <v>903.16387692910348</v>
      </c>
      <c r="Q120" s="10">
        <f t="shared" si="103"/>
        <v>-903.16387692910348</v>
      </c>
      <c r="R120" s="214">
        <f t="shared" si="73"/>
        <v>102.40006888623793</v>
      </c>
      <c r="S120" s="224">
        <f t="shared" si="83"/>
        <v>851.96384248598451</v>
      </c>
      <c r="T120" s="225">
        <f t="shared" si="80"/>
        <v>-851.96384248598451</v>
      </c>
      <c r="U120" s="214">
        <f t="shared" si="74"/>
        <v>139.92507217171669</v>
      </c>
      <c r="V120" s="232">
        <f t="shared" si="81"/>
        <v>833.20134084324513</v>
      </c>
      <c r="W120" s="233">
        <f t="shared" si="84"/>
        <v>-833.20134084324513</v>
      </c>
      <c r="X120" s="214">
        <f t="shared" si="75"/>
        <v>192.91020066531041</v>
      </c>
      <c r="Y120" s="228">
        <f t="shared" si="85"/>
        <v>806.70877659644827</v>
      </c>
      <c r="Z120" s="229">
        <f t="shared" si="86"/>
        <v>-806.70877659644827</v>
      </c>
      <c r="AA120" s="214">
        <f t="shared" si="76"/>
        <v>230.8472719906249</v>
      </c>
      <c r="AB120" s="264">
        <f t="shared" si="87"/>
        <v>787.74024093379103</v>
      </c>
      <c r="AC120" s="265">
        <f t="shared" si="88"/>
        <v>-787.74024093379103</v>
      </c>
      <c r="AD120" s="214">
        <f>IF($D$9="Par",Path!R120,IF($D$9="Con",Path!U120,IF($D$9="Exp",Path!X120,IF($D$9="Hyp",Path!AA120))))</f>
        <v>192.91020066531041</v>
      </c>
      <c r="AE120" s="6">
        <f>IF(B119&gt;0,K120,"")</f>
        <v>75.970281297340648</v>
      </c>
    </row>
    <row r="121" spans="1:42" x14ac:dyDescent="0.2">
      <c r="B121" s="2"/>
      <c r="C121" s="21">
        <f>C118</f>
        <v>33.145189725885267</v>
      </c>
      <c r="D121" s="22">
        <f>D118</f>
        <v>62.400562594681304</v>
      </c>
      <c r="E121" s="23"/>
      <c r="F121" s="22">
        <f>IF(TH!$H$18="x",C121,0)</f>
        <v>33.145189725885267</v>
      </c>
      <c r="G121" s="22">
        <f>IF(TH!$H$18="x",D121,0)</f>
        <v>62.400562594681304</v>
      </c>
      <c r="H121" s="22">
        <f>SUM(C121:C122)/2</f>
        <v>17.522594862942633</v>
      </c>
      <c r="I121" s="22">
        <f>SUM(D121:D122)/2</f>
        <v>68.859258948786433</v>
      </c>
      <c r="J121" s="22">
        <f>IF(TH!$H$17="x",H121,0)</f>
        <v>17.522594862942633</v>
      </c>
      <c r="K121" s="26">
        <f>IF(TH!$H$17="x",I121,0)</f>
        <v>68.859258948786433</v>
      </c>
      <c r="L121" s="34"/>
      <c r="M121" s="22">
        <f t="shared" ref="M121:O121" si="107">M120</f>
        <v>7.5279936549615698</v>
      </c>
      <c r="N121" s="22">
        <f t="shared" si="107"/>
        <v>303.54536637330381</v>
      </c>
      <c r="O121" s="35">
        <f t="shared" si="107"/>
        <v>1806.327753858207</v>
      </c>
      <c r="P121" s="10">
        <f t="shared" si="102"/>
        <v>903.16387692910348</v>
      </c>
      <c r="Q121" s="10">
        <f t="shared" si="103"/>
        <v>-903.16387692910348</v>
      </c>
      <c r="R121" s="214">
        <f t="shared" si="73"/>
        <v>102.40006888623793</v>
      </c>
      <c r="S121" s="224">
        <f t="shared" si="83"/>
        <v>851.96384248598451</v>
      </c>
      <c r="T121" s="225">
        <f t="shared" si="80"/>
        <v>-851.96384248598451</v>
      </c>
      <c r="U121" s="214">
        <f t="shared" si="74"/>
        <v>139.92507217171669</v>
      </c>
      <c r="V121" s="232">
        <f t="shared" si="81"/>
        <v>833.20134084324513</v>
      </c>
      <c r="W121" s="233">
        <f t="shared" si="84"/>
        <v>-833.20134084324513</v>
      </c>
      <c r="X121" s="214">
        <f t="shared" si="75"/>
        <v>192.91020066531041</v>
      </c>
      <c r="Y121" s="228">
        <f t="shared" si="85"/>
        <v>806.70877659644827</v>
      </c>
      <c r="Z121" s="229">
        <f t="shared" si="86"/>
        <v>-806.70877659644827</v>
      </c>
      <c r="AA121" s="214">
        <f t="shared" si="76"/>
        <v>230.8472719906249</v>
      </c>
      <c r="AB121" s="264">
        <f t="shared" si="87"/>
        <v>787.74024093379103</v>
      </c>
      <c r="AC121" s="265">
        <f t="shared" si="88"/>
        <v>-787.74024093379103</v>
      </c>
      <c r="AD121" s="214">
        <f>IF($D$9="Par",Path!R121,IF($D$9="Con",Path!U121,IF($D$9="Exp",Path!X121,IF($D$9="Hyp",Path!AA121))))</f>
        <v>192.91020066531041</v>
      </c>
      <c r="AE121" s="6">
        <f>IF(B122&gt;0,K121,"")</f>
        <v>68.859258948786433</v>
      </c>
    </row>
    <row r="122" spans="1:42" x14ac:dyDescent="0.2">
      <c r="B122" s="5">
        <f>B119+1</f>
        <v>33</v>
      </c>
      <c r="C122" s="25">
        <f>Panels!C33</f>
        <v>1.9</v>
      </c>
      <c r="D122" s="26">
        <f>(D119+D125)/2</f>
        <v>75.317955302891562</v>
      </c>
      <c r="E122" s="27"/>
      <c r="F122" s="26">
        <f>IF(TH!$H$18="x",C122,0)</f>
        <v>1.9</v>
      </c>
      <c r="G122" s="26">
        <f>IF(TH!$H$18="x",D122,0)</f>
        <v>75.317955302891562</v>
      </c>
      <c r="H122" s="26"/>
      <c r="I122" s="26"/>
      <c r="J122" s="26">
        <f>J121</f>
        <v>17.522594862942633</v>
      </c>
      <c r="K122" s="26">
        <f>K121</f>
        <v>68.859258948786433</v>
      </c>
      <c r="L122" s="32"/>
      <c r="M122" s="26">
        <f t="shared" ref="M122:O122" si="108">M121</f>
        <v>7.5279936549615698</v>
      </c>
      <c r="N122" s="26">
        <f t="shared" si="108"/>
        <v>303.54536637330381</v>
      </c>
      <c r="O122" s="33">
        <f t="shared" si="108"/>
        <v>1806.327753858207</v>
      </c>
      <c r="P122" s="10">
        <f t="shared" si="102"/>
        <v>903.16387692910348</v>
      </c>
      <c r="Q122" s="10">
        <f t="shared" si="103"/>
        <v>-903.16387692910348</v>
      </c>
      <c r="R122" s="214">
        <f t="shared" si="73"/>
        <v>102.40006888623793</v>
      </c>
      <c r="S122" s="224">
        <f t="shared" si="83"/>
        <v>851.96384248598451</v>
      </c>
      <c r="T122" s="225">
        <f t="shared" si="80"/>
        <v>-851.96384248598451</v>
      </c>
      <c r="U122" s="214">
        <f t="shared" si="74"/>
        <v>139.92507217171669</v>
      </c>
      <c r="V122" s="232">
        <f t="shared" si="81"/>
        <v>833.20134084324513</v>
      </c>
      <c r="W122" s="233">
        <f t="shared" si="84"/>
        <v>-833.20134084324513</v>
      </c>
      <c r="X122" s="214">
        <f t="shared" si="75"/>
        <v>192.91020066531041</v>
      </c>
      <c r="Y122" s="228">
        <f t="shared" si="85"/>
        <v>806.70877659644827</v>
      </c>
      <c r="Z122" s="229">
        <f t="shared" si="86"/>
        <v>-806.70877659644827</v>
      </c>
      <c r="AA122" s="214">
        <f t="shared" si="76"/>
        <v>230.8472719906249</v>
      </c>
      <c r="AB122" s="264">
        <f t="shared" si="87"/>
        <v>787.74024093379103</v>
      </c>
      <c r="AC122" s="265">
        <f t="shared" si="88"/>
        <v>-787.74024093379103</v>
      </c>
      <c r="AD122" s="214">
        <f>IF($D$9="Par",Path!R122,IF($D$9="Con",Path!U122,IF($D$9="Exp",Path!X122,IF($D$9="Hyp",Path!AA122))))</f>
        <v>192.91020066531041</v>
      </c>
      <c r="AE122" s="6">
        <f>IF(B122&gt;0,K122,"")</f>
        <v>68.859258948786433</v>
      </c>
    </row>
    <row r="123" spans="1:42" x14ac:dyDescent="0.2">
      <c r="B123" s="2"/>
      <c r="C123" s="25"/>
      <c r="D123" s="26"/>
      <c r="E123" s="27"/>
      <c r="F123" s="43"/>
      <c r="G123" s="43"/>
      <c r="H123" s="43"/>
      <c r="I123" s="43"/>
      <c r="J123" s="26">
        <f>J122</f>
        <v>17.522594862942633</v>
      </c>
      <c r="K123" s="26">
        <f>K122</f>
        <v>68.859258948786433</v>
      </c>
      <c r="L123" s="32"/>
      <c r="M123" s="39">
        <f>((H121-H118)^2+(I121-I118)^2)^0.5</f>
        <v>10.355545727327907</v>
      </c>
      <c r="N123" s="39">
        <f>N120+M123</f>
        <v>313.90091210063173</v>
      </c>
      <c r="O123" s="33">
        <f>((C121-C122)^2+(D121-D122)^2)^0.5*Path!$F$3</f>
        <v>1932.5836704983585</v>
      </c>
      <c r="P123" s="10">
        <f t="shared" si="102"/>
        <v>966.29183524917926</v>
      </c>
      <c r="Q123" s="10">
        <f t="shared" si="103"/>
        <v>-966.29183524917926</v>
      </c>
      <c r="R123" s="214">
        <f t="shared" si="73"/>
        <v>179.12140125308542</v>
      </c>
      <c r="S123" s="224">
        <f t="shared" si="83"/>
        <v>876.73113462263655</v>
      </c>
      <c r="T123" s="225">
        <f t="shared" si="80"/>
        <v>-876.73113462263655</v>
      </c>
      <c r="U123" s="214">
        <f t="shared" si="74"/>
        <v>201.06208984706541</v>
      </c>
      <c r="V123" s="232">
        <f t="shared" si="81"/>
        <v>865.76079032564655</v>
      </c>
      <c r="W123" s="233">
        <f t="shared" si="84"/>
        <v>-865.76079032564655</v>
      </c>
      <c r="X123" s="214">
        <f t="shared" si="75"/>
        <v>231.65711042567614</v>
      </c>
      <c r="Y123" s="228">
        <f t="shared" si="85"/>
        <v>850.46328003634119</v>
      </c>
      <c r="Z123" s="229">
        <f t="shared" si="86"/>
        <v>-850.46328003634119</v>
      </c>
      <c r="AA123" s="214">
        <f t="shared" si="76"/>
        <v>254.1663498615037</v>
      </c>
      <c r="AB123" s="264">
        <f t="shared" si="87"/>
        <v>839.20866031842741</v>
      </c>
      <c r="AC123" s="265">
        <f t="shared" si="88"/>
        <v>-839.20866031842741</v>
      </c>
      <c r="AD123" s="214">
        <f>IF($D$9="Par",Path!R123,IF($D$9="Con",Path!U123,IF($D$9="Exp",Path!X123,IF($D$9="Hyp",Path!AA123))))</f>
        <v>231.65711042567614</v>
      </c>
      <c r="AE123" s="6">
        <f>IF(B122&gt;0,K123,"")</f>
        <v>68.859258948786433</v>
      </c>
    </row>
    <row r="124" spans="1:42" x14ac:dyDescent="0.2">
      <c r="B124" s="2"/>
      <c r="C124" s="21">
        <f>C121</f>
        <v>33.145189725885267</v>
      </c>
      <c r="D124" s="22">
        <f>D121</f>
        <v>62.400562594681304</v>
      </c>
      <c r="E124" s="23"/>
      <c r="F124" s="22">
        <f>IF(TH!$H$18="x",C124,0)</f>
        <v>33.145189725885267</v>
      </c>
      <c r="G124" s="22">
        <f>IF(TH!$H$18="x",D124,0)</f>
        <v>62.400562594681304</v>
      </c>
      <c r="H124" s="22">
        <f>SUM(C124:C125)/2</f>
        <v>17.522594862942633</v>
      </c>
      <c r="I124" s="22">
        <f>SUM(D124:D125)/2</f>
        <v>61.748236600232218</v>
      </c>
      <c r="J124" s="22">
        <f>IF(TH!$H$17="x",H124,0)</f>
        <v>17.522594862942633</v>
      </c>
      <c r="K124" s="22">
        <f>IF(TH!$H$17="x",I124,0)</f>
        <v>61.748236600232218</v>
      </c>
      <c r="L124" s="34"/>
      <c r="M124" s="22">
        <f t="shared" ref="M124:O124" si="109">M123</f>
        <v>10.355545727327907</v>
      </c>
      <c r="N124" s="22">
        <f t="shared" si="109"/>
        <v>313.90091210063173</v>
      </c>
      <c r="O124" s="35">
        <f t="shared" si="109"/>
        <v>1932.5836704983585</v>
      </c>
      <c r="P124" s="10">
        <f t="shared" si="102"/>
        <v>966.29183524917926</v>
      </c>
      <c r="Q124" s="10">
        <f t="shared" si="103"/>
        <v>-966.29183524917926</v>
      </c>
      <c r="R124" s="214">
        <f t="shared" si="73"/>
        <v>179.12140125308542</v>
      </c>
      <c r="S124" s="224">
        <f t="shared" si="83"/>
        <v>876.73113462263655</v>
      </c>
      <c r="T124" s="225">
        <f t="shared" si="80"/>
        <v>-876.73113462263655</v>
      </c>
      <c r="U124" s="214">
        <f t="shared" si="74"/>
        <v>201.06208984706541</v>
      </c>
      <c r="V124" s="232">
        <f t="shared" si="81"/>
        <v>865.76079032564655</v>
      </c>
      <c r="W124" s="233">
        <f t="shared" si="84"/>
        <v>-865.76079032564655</v>
      </c>
      <c r="X124" s="214">
        <f t="shared" si="75"/>
        <v>231.65711042567614</v>
      </c>
      <c r="Y124" s="228">
        <f t="shared" si="85"/>
        <v>850.46328003634119</v>
      </c>
      <c r="Z124" s="229">
        <f t="shared" si="86"/>
        <v>-850.46328003634119</v>
      </c>
      <c r="AA124" s="214">
        <f t="shared" si="76"/>
        <v>254.1663498615037</v>
      </c>
      <c r="AB124" s="264">
        <f t="shared" si="87"/>
        <v>839.20866031842741</v>
      </c>
      <c r="AC124" s="265">
        <f t="shared" si="88"/>
        <v>-839.20866031842741</v>
      </c>
      <c r="AD124" s="214">
        <f>IF($D$9="Par",Path!R124,IF($D$9="Con",Path!U124,IF($D$9="Exp",Path!X124,IF($D$9="Hyp",Path!AA124))))</f>
        <v>231.65711042567614</v>
      </c>
      <c r="AE124" s="6">
        <f>IF(B125&gt;0,K124,"")</f>
        <v>61.748236600232218</v>
      </c>
    </row>
    <row r="125" spans="1:42" x14ac:dyDescent="0.2">
      <c r="B125" s="5">
        <f>B122+1</f>
        <v>34</v>
      </c>
      <c r="C125" s="25">
        <f>C122</f>
        <v>1.9</v>
      </c>
      <c r="D125" s="26">
        <f>D121-(C121-C122)*E23</f>
        <v>61.095910605783125</v>
      </c>
      <c r="E125" s="27"/>
      <c r="F125" s="26">
        <f>IF(TH!$H$18="x",C125,0)</f>
        <v>1.9</v>
      </c>
      <c r="G125" s="26">
        <f>IF(TH!$H$18="x",D125,0)</f>
        <v>61.095910605783125</v>
      </c>
      <c r="H125" s="26"/>
      <c r="I125" s="26"/>
      <c r="J125" s="26">
        <f>J124</f>
        <v>17.522594862942633</v>
      </c>
      <c r="K125" s="26">
        <f>K124</f>
        <v>61.748236600232218</v>
      </c>
      <c r="L125" s="32"/>
      <c r="M125" s="26">
        <f t="shared" ref="M125:O125" si="110">M124</f>
        <v>10.355545727327907</v>
      </c>
      <c r="N125" s="26">
        <f t="shared" si="110"/>
        <v>313.90091210063173</v>
      </c>
      <c r="O125" s="33">
        <f t="shared" si="110"/>
        <v>1932.5836704983585</v>
      </c>
      <c r="P125" s="10">
        <f t="shared" si="102"/>
        <v>966.29183524917926</v>
      </c>
      <c r="Q125" s="10">
        <f t="shared" si="103"/>
        <v>-966.29183524917926</v>
      </c>
      <c r="R125" s="214">
        <f t="shared" si="73"/>
        <v>179.12140125308542</v>
      </c>
      <c r="S125" s="224">
        <f t="shared" si="83"/>
        <v>876.73113462263655</v>
      </c>
      <c r="T125" s="225">
        <f t="shared" si="80"/>
        <v>-876.73113462263655</v>
      </c>
      <c r="U125" s="214">
        <f t="shared" si="74"/>
        <v>201.06208984706541</v>
      </c>
      <c r="V125" s="232">
        <f t="shared" si="81"/>
        <v>865.76079032564655</v>
      </c>
      <c r="W125" s="233">
        <f t="shared" si="84"/>
        <v>-865.76079032564655</v>
      </c>
      <c r="X125" s="214">
        <f t="shared" si="75"/>
        <v>231.65711042567614</v>
      </c>
      <c r="Y125" s="228">
        <f t="shared" si="85"/>
        <v>850.46328003634119</v>
      </c>
      <c r="Z125" s="229">
        <f t="shared" si="86"/>
        <v>-850.46328003634119</v>
      </c>
      <c r="AA125" s="214">
        <f t="shared" si="76"/>
        <v>254.1663498615037</v>
      </c>
      <c r="AB125" s="264">
        <f t="shared" si="87"/>
        <v>839.20866031842741</v>
      </c>
      <c r="AC125" s="265">
        <f t="shared" si="88"/>
        <v>-839.20866031842741</v>
      </c>
      <c r="AD125" s="214">
        <f>IF($D$9="Par",Path!R125,IF($D$9="Con",Path!U125,IF($D$9="Exp",Path!X125,IF($D$9="Hyp",Path!AA125))))</f>
        <v>231.65711042567614</v>
      </c>
      <c r="AE125" s="6">
        <f>IF(B125&gt;0,K125,"")</f>
        <v>61.748236600232218</v>
      </c>
    </row>
    <row r="126" spans="1:42" x14ac:dyDescent="0.2">
      <c r="B126" s="2"/>
      <c r="C126" s="42"/>
      <c r="D126" s="43"/>
      <c r="E126" s="43"/>
      <c r="F126" s="43"/>
      <c r="G126" s="43"/>
      <c r="H126" s="43"/>
      <c r="I126" s="43"/>
      <c r="J126" s="39">
        <f>J125</f>
        <v>17.522594862942633</v>
      </c>
      <c r="K126" s="39">
        <f>K125</f>
        <v>61.748236600232218</v>
      </c>
      <c r="L126" s="32"/>
      <c r="M126" s="39">
        <f>((H124-H121)^2+(I124-I121)^2)^0.5</f>
        <v>7.111022348554215</v>
      </c>
      <c r="N126" s="39">
        <f>N123+M126</f>
        <v>321.01193444918596</v>
      </c>
      <c r="O126" s="33">
        <f>((C124-C125)^2+(D124-D125)^2)^0.5*Path!$F$3</f>
        <v>1787.53129430271</v>
      </c>
      <c r="P126" s="10">
        <f t="shared" si="102"/>
        <v>893.76564715135498</v>
      </c>
      <c r="Q126" s="10">
        <f t="shared" si="103"/>
        <v>-893.76564715135498</v>
      </c>
      <c r="R126" s="214">
        <f t="shared" si="73"/>
        <v>5.4252193824368078E-2</v>
      </c>
      <c r="S126" s="224">
        <f t="shared" ref="S126:S128" si="111">(($D$5-$D$4)*(N126-$E$4)/($E$5-$E$4)+$D$4)/2</f>
        <v>893.7385210544428</v>
      </c>
      <c r="T126" s="225">
        <f t="shared" ref="T126:T128" si="112">-S126</f>
        <v>-893.7385210544428</v>
      </c>
      <c r="U126" s="214">
        <f t="shared" si="74"/>
        <v>10.570612540020875</v>
      </c>
      <c r="V126" s="232">
        <f t="shared" si="81"/>
        <v>888.48034088134455</v>
      </c>
      <c r="W126" s="233">
        <f t="shared" ref="W126" si="113">-V126</f>
        <v>-888.48034088134455</v>
      </c>
      <c r="X126" s="214">
        <f t="shared" si="75"/>
        <v>23.780036156699225</v>
      </c>
      <c r="Y126" s="228">
        <f t="shared" ref="Y126" si="114">($D$4*EXP($O$3*(N126-$E$4)))/2</f>
        <v>881.87562907300537</v>
      </c>
      <c r="Z126" s="229">
        <f t="shared" ref="Z126" si="115">-Y126</f>
        <v>-881.87562907300537</v>
      </c>
      <c r="AA126" s="214">
        <f t="shared" si="76"/>
        <v>34.100964051979872</v>
      </c>
      <c r="AB126" s="264">
        <f t="shared" si="87"/>
        <v>876.71516512536505</v>
      </c>
      <c r="AC126" s="265">
        <f t="shared" ref="AC126" si="116">-AB126</f>
        <v>-876.71516512536505</v>
      </c>
      <c r="AD126" s="214">
        <f>IF($D$9="Par",Path!R126,IF($D$9="Con",Path!U126,IF($D$9="Exp",Path!X126,IF($D$9="Hyp",Path!AA126))))</f>
        <v>23.780036156699225</v>
      </c>
      <c r="AE126" s="6">
        <f>IF(B125&gt;0,K126,"")</f>
        <v>61.748236600232218</v>
      </c>
    </row>
    <row r="127" spans="1:42" x14ac:dyDescent="0.2">
      <c r="B127" s="2"/>
      <c r="C127" s="25">
        <f>IF(Panels!S27&gt;C124,Panels!S27,C124)</f>
        <v>33.601404400218584</v>
      </c>
      <c r="D127" s="26">
        <f>IF(Panels!T27&lt;D124,Panels!T27,D124)</f>
        <v>56.947130810016368</v>
      </c>
      <c r="E127" s="27"/>
      <c r="F127" s="22">
        <f>IF(TH!$H$18="x",C127,0)</f>
        <v>33.601404400218584</v>
      </c>
      <c r="G127" s="22">
        <f>IF(TH!$H$18="x",D127,0)</f>
        <v>56.947130810016368</v>
      </c>
      <c r="H127" s="22">
        <f>SUM(C127:C128)/2</f>
        <v>17.750702200109291</v>
      </c>
      <c r="I127" s="22">
        <f>SUM(D127:D128)/2</f>
        <v>56.285280127327979</v>
      </c>
      <c r="J127" s="22">
        <f>IF(TH!$H$17="x",H127,0)</f>
        <v>17.750702200109291</v>
      </c>
      <c r="K127" s="22">
        <f>IF(TH!$H$17="x",I127,0)</f>
        <v>56.285280127327979</v>
      </c>
      <c r="L127" s="34"/>
      <c r="M127" s="22">
        <f t="shared" ref="M127:O127" si="117">M126</f>
        <v>7.111022348554215</v>
      </c>
      <c r="N127" s="22">
        <f t="shared" si="117"/>
        <v>321.01193444918596</v>
      </c>
      <c r="O127" s="35">
        <f t="shared" si="117"/>
        <v>1787.53129430271</v>
      </c>
      <c r="P127" s="10">
        <f t="shared" ref="P127:P132" si="118">O127/2</f>
        <v>893.76564715135498</v>
      </c>
      <c r="Q127" s="10">
        <f t="shared" ref="Q127:Q132" si="119">-P127</f>
        <v>-893.76564715135498</v>
      </c>
      <c r="R127" s="214">
        <f t="shared" ref="R127:R132" si="120">($P127-S127)*2</f>
        <v>5.4252193824368078E-2</v>
      </c>
      <c r="S127" s="224">
        <f t="shared" si="111"/>
        <v>893.7385210544428</v>
      </c>
      <c r="T127" s="225">
        <f t="shared" si="112"/>
        <v>-893.7385210544428</v>
      </c>
      <c r="U127" s="214">
        <f t="shared" ref="U127:U132" si="121">($P127-V127)*2</f>
        <v>10.570612540020875</v>
      </c>
      <c r="V127" s="232">
        <f t="shared" si="81"/>
        <v>888.48034088134455</v>
      </c>
      <c r="W127" s="233">
        <f t="shared" ref="W127:W129" si="122">-V127</f>
        <v>-888.48034088134455</v>
      </c>
      <c r="X127" s="214">
        <f t="shared" ref="X127:X132" si="123">($P127-Y127)*2</f>
        <v>23.780036156699225</v>
      </c>
      <c r="Y127" s="228">
        <f t="shared" ref="Y127:Y129" si="124">($D$4*EXP($O$3*(N127-$E$4)))/2</f>
        <v>881.87562907300537</v>
      </c>
      <c r="Z127" s="229">
        <f t="shared" ref="Z127:Z129" si="125">-Y127</f>
        <v>-881.87562907300537</v>
      </c>
      <c r="AA127" s="214">
        <f t="shared" ref="AA127:AA132" si="126">($P127-AB127)*2</f>
        <v>34.100964051979872</v>
      </c>
      <c r="AB127" s="264">
        <f t="shared" si="87"/>
        <v>876.71516512536505</v>
      </c>
      <c r="AC127" s="265">
        <f t="shared" ref="AC127:AC129" si="127">-AB127</f>
        <v>-876.71516512536505</v>
      </c>
      <c r="AD127" s="214">
        <f>IF($D$9="Par",Path!R127,IF($D$9="Con",Path!U127,IF($D$9="Exp",Path!X127,IF($D$9="Hyp",Path!AA127))))</f>
        <v>23.780036156699225</v>
      </c>
      <c r="AE127" s="6">
        <f>IF(B128&gt;0,K127,"")</f>
        <v>56.285280127327979</v>
      </c>
      <c r="AH127" s="2" t="str">
        <f>AH133</f>
        <v>Panel A (bottom)</v>
      </c>
      <c r="AI127" s="6">
        <f>AI133</f>
        <v>1.9</v>
      </c>
      <c r="AJ127" s="6">
        <f>AJ133</f>
        <v>0</v>
      </c>
      <c r="AK127" s="6">
        <f>Panels!C9</f>
        <v>1.9</v>
      </c>
      <c r="AL127" s="6">
        <f>Panels!D9</f>
        <v>91.44</v>
      </c>
      <c r="AM127" s="9" t="str">
        <f>IF(AK127-AI127&lt;&gt;0,(AL127-AJ127)/(AK127-AI127),"vertical")</f>
        <v>vertical</v>
      </c>
      <c r="AN127" s="9">
        <f>IF(AM127&lt;&gt;"vertical",(AL127*AI127-AJ127*AK127)/(AI127-AK127),AJ127)</f>
        <v>0</v>
      </c>
    </row>
    <row r="128" spans="1:42" x14ac:dyDescent="0.2">
      <c r="A128" s="2" t="s">
        <v>44</v>
      </c>
      <c r="B128" s="5">
        <f>B125+1</f>
        <v>35</v>
      </c>
      <c r="C128" s="25">
        <f>AO128</f>
        <v>1.9</v>
      </c>
      <c r="D128" s="26">
        <f>AP128</f>
        <v>55.623429444639584</v>
      </c>
      <c r="E128" s="27"/>
      <c r="F128" s="26">
        <f>IF(TH!$H$18="x",C128,0)</f>
        <v>1.9</v>
      </c>
      <c r="G128" s="26">
        <f>IF(TH!$H$18="x",D128,0)</f>
        <v>55.623429444639584</v>
      </c>
      <c r="H128" s="26"/>
      <c r="I128" s="26"/>
      <c r="J128" s="26">
        <f>J127</f>
        <v>17.750702200109291</v>
      </c>
      <c r="K128" s="26">
        <f>K127</f>
        <v>56.285280127327979</v>
      </c>
      <c r="L128" s="32"/>
      <c r="M128" s="26">
        <f t="shared" ref="M128:O128" si="128">M127</f>
        <v>7.111022348554215</v>
      </c>
      <c r="N128" s="26">
        <f t="shared" si="128"/>
        <v>321.01193444918596</v>
      </c>
      <c r="O128" s="33">
        <f t="shared" si="128"/>
        <v>1787.53129430271</v>
      </c>
      <c r="P128" s="10">
        <f t="shared" si="118"/>
        <v>893.76564715135498</v>
      </c>
      <c r="Q128" s="10">
        <f t="shared" si="119"/>
        <v>-893.76564715135498</v>
      </c>
      <c r="R128" s="214">
        <f t="shared" si="120"/>
        <v>5.4252193824368078E-2</v>
      </c>
      <c r="S128" s="224">
        <f t="shared" si="111"/>
        <v>893.7385210544428</v>
      </c>
      <c r="T128" s="225">
        <f t="shared" si="112"/>
        <v>-893.7385210544428</v>
      </c>
      <c r="U128" s="214">
        <f t="shared" si="121"/>
        <v>10.570612540020875</v>
      </c>
      <c r="V128" s="232">
        <f t="shared" si="81"/>
        <v>888.48034088134455</v>
      </c>
      <c r="W128" s="233">
        <f t="shared" si="122"/>
        <v>-888.48034088134455</v>
      </c>
      <c r="X128" s="214">
        <f t="shared" si="123"/>
        <v>23.780036156699225</v>
      </c>
      <c r="Y128" s="228">
        <f t="shared" si="124"/>
        <v>881.87562907300537</v>
      </c>
      <c r="Z128" s="229">
        <f t="shared" si="125"/>
        <v>-881.87562907300537</v>
      </c>
      <c r="AA128" s="214">
        <f t="shared" si="126"/>
        <v>34.100964051979872</v>
      </c>
      <c r="AB128" s="264">
        <f t="shared" si="87"/>
        <v>876.71516512536505</v>
      </c>
      <c r="AC128" s="265">
        <f t="shared" si="127"/>
        <v>-876.71516512536505</v>
      </c>
      <c r="AD128" s="214">
        <f>IF($D$9="Par",Path!R128,IF($D$9="Con",Path!U128,IF($D$9="Exp",Path!X128,IF($D$9="Hyp",Path!AA128))))</f>
        <v>23.780036156699225</v>
      </c>
      <c r="AE128" s="6">
        <f>IF(B128&gt;0,K128,"")</f>
        <v>56.285280127327979</v>
      </c>
      <c r="AH128" s="2" t="str">
        <f>AH134</f>
        <v>Panel F (baffle)</v>
      </c>
      <c r="AI128" s="6">
        <f>C127</f>
        <v>33.601404400218584</v>
      </c>
      <c r="AJ128" s="6">
        <f>D127</f>
        <v>56.947130810016368</v>
      </c>
      <c r="AK128" s="6">
        <f>AI128-10*$E$21</f>
        <v>23.610110539104475</v>
      </c>
      <c r="AL128" s="6">
        <f>AJ128-10*$E$22</f>
        <v>56.529941427524967</v>
      </c>
      <c r="AM128" s="9">
        <f>(AL128-AJ128)/(AK128-AI128)</f>
        <v>4.1755290985394045E-2</v>
      </c>
      <c r="AN128" s="9">
        <f>(AL128*AI128-AJ128*AK128)/(AI128-AK128)</f>
        <v>55.544094391767338</v>
      </c>
      <c r="AO128" s="6">
        <f>IF(AM127&lt;&gt;"vertical",(AN127-AN128)/(AM128-AM127),AI127)</f>
        <v>1.9</v>
      </c>
      <c r="AP128" s="6">
        <f>AO128*AM128+AN128</f>
        <v>55.623429444639584</v>
      </c>
    </row>
    <row r="129" spans="1:42" x14ac:dyDescent="0.2">
      <c r="B129" s="2"/>
      <c r="C129" s="41"/>
      <c r="D129" s="27"/>
      <c r="E129" s="27"/>
      <c r="F129" s="43"/>
      <c r="G129" s="43"/>
      <c r="H129" s="43"/>
      <c r="I129" s="43"/>
      <c r="J129" s="39">
        <f>J128</f>
        <v>17.750702200109291</v>
      </c>
      <c r="K129" s="39">
        <f>K128</f>
        <v>56.285280127327979</v>
      </c>
      <c r="L129" s="32"/>
      <c r="M129" s="39">
        <f>((H127-H124)^2+(I127-I124)^2)^0.5</f>
        <v>5.4677167430396008</v>
      </c>
      <c r="N129" s="39">
        <f>N126+M129</f>
        <v>326.47965119222556</v>
      </c>
      <c r="O129" s="33">
        <f>((C127-C128)^2+(D127-D128)^2)^0.5*Path!$F$3</f>
        <v>1813.6312480698434</v>
      </c>
      <c r="P129" s="10">
        <f t="shared" si="118"/>
        <v>906.81562403492171</v>
      </c>
      <c r="Q129" s="10">
        <f t="shared" si="119"/>
        <v>-906.81562403492171</v>
      </c>
      <c r="R129" s="214">
        <f t="shared" si="120"/>
        <v>0</v>
      </c>
      <c r="S129" s="224">
        <f t="shared" ref="S129:S138" si="129">(($D$7-$D$5)*($N129-$E$5)/($E$7-$E$5)+$D$5)/2</f>
        <v>906.81562403492171</v>
      </c>
      <c r="T129" s="225">
        <f t="shared" ref="T129:T132" si="130">-S129</f>
        <v>-906.81562403492171</v>
      </c>
      <c r="U129" s="214">
        <f t="shared" si="121"/>
        <v>1.331883403350048</v>
      </c>
      <c r="V129" s="232">
        <f t="shared" si="81"/>
        <v>906.14968233324669</v>
      </c>
      <c r="W129" s="233">
        <f t="shared" si="122"/>
        <v>-906.14968233324669</v>
      </c>
      <c r="X129" s="214">
        <f t="shared" si="123"/>
        <v>6.8212102632969618E-13</v>
      </c>
      <c r="Y129" s="228">
        <f t="shared" si="124"/>
        <v>906.81562403492137</v>
      </c>
      <c r="Z129" s="229">
        <f t="shared" si="125"/>
        <v>-906.81562403492137</v>
      </c>
      <c r="AA129" s="214">
        <f t="shared" si="126"/>
        <v>2.6692014216678217E-6</v>
      </c>
      <c r="AB129" s="264">
        <f t="shared" si="87"/>
        <v>906.815622700321</v>
      </c>
      <c r="AC129" s="265">
        <f t="shared" si="127"/>
        <v>-906.815622700321</v>
      </c>
      <c r="AD129" s="214">
        <f>IF($D$9="Par",Path!R129,IF($D$9="Con",Path!U129,IF($D$9="Exp",Path!X129,IF($D$9="Hyp",Path!AA129))))</f>
        <v>6.8212102632969618E-13</v>
      </c>
      <c r="AE129" s="6">
        <f>IF(B128&gt;0,K129,"")</f>
        <v>56.285280127327979</v>
      </c>
    </row>
    <row r="130" spans="1:42" x14ac:dyDescent="0.2">
      <c r="B130" s="2"/>
      <c r="C130" s="21">
        <f>Panels!S21</f>
        <v>35.877692123439942</v>
      </c>
      <c r="D130" s="22">
        <f>Panels!T21</f>
        <v>29.737177866265956</v>
      </c>
      <c r="E130" s="23"/>
      <c r="F130" s="22">
        <f>IF(TH!$H$18="x",C130,0)</f>
        <v>35.877692123439942</v>
      </c>
      <c r="G130" s="22">
        <f>IF(TH!$H$18="x",D130,0)</f>
        <v>29.737177866265956</v>
      </c>
      <c r="H130" s="22">
        <f>SUM(C130:C131)/2</f>
        <v>18.88884606171997</v>
      </c>
      <c r="I130" s="22">
        <f>SUM(D130:D131)/2</f>
        <v>29.027803655452772</v>
      </c>
      <c r="J130" s="22">
        <f>IF(TH!$H$17="x",H130,0)</f>
        <v>18.88884606171997</v>
      </c>
      <c r="K130" s="22">
        <f>IF(TH!$H$17="x",I130,0)</f>
        <v>29.027803655452772</v>
      </c>
      <c r="L130" s="34"/>
      <c r="M130" s="22">
        <f t="shared" ref="M130:O130" si="131">M129</f>
        <v>5.4677167430396008</v>
      </c>
      <c r="N130" s="22">
        <f t="shared" si="131"/>
        <v>326.47965119222556</v>
      </c>
      <c r="O130" s="35">
        <f t="shared" si="131"/>
        <v>1813.6312480698434</v>
      </c>
      <c r="P130" s="10">
        <f t="shared" si="118"/>
        <v>906.81562403492171</v>
      </c>
      <c r="Q130" s="10">
        <f t="shared" si="119"/>
        <v>-906.81562403492171</v>
      </c>
      <c r="R130" s="214">
        <f t="shared" si="120"/>
        <v>0</v>
      </c>
      <c r="S130" s="224">
        <f t="shared" si="129"/>
        <v>906.81562403492171</v>
      </c>
      <c r="T130" s="225">
        <f t="shared" si="130"/>
        <v>-906.81562403492171</v>
      </c>
      <c r="U130" s="214">
        <f t="shared" si="121"/>
        <v>0</v>
      </c>
      <c r="V130" s="224">
        <f t="shared" ref="V130:V138" si="132">(($D$7-$D$5)*($N130-$E$5)/($E$7-$E$5)+$D$5)/2</f>
        <v>906.81562403492171</v>
      </c>
      <c r="W130" s="225">
        <f t="shared" si="84"/>
        <v>-906.81562403492171</v>
      </c>
      <c r="X130" s="214">
        <f t="shared" si="123"/>
        <v>0</v>
      </c>
      <c r="Y130" s="224">
        <f t="shared" ref="Y130:Y138" si="133">(($D$7-$D$5)*($N130-$E$5)/($E$7-$E$5)+$D$5)/2</f>
        <v>906.81562403492171</v>
      </c>
      <c r="Z130" s="225">
        <f t="shared" si="86"/>
        <v>-906.81562403492171</v>
      </c>
      <c r="AA130" s="214">
        <f t="shared" si="126"/>
        <v>0</v>
      </c>
      <c r="AB130" s="224">
        <f t="shared" ref="AB130:AB138" si="134">(($D$7-$D$5)*($N130-$E$5)/($E$7-$E$5)+$D$5)/2</f>
        <v>906.81562403492171</v>
      </c>
      <c r="AC130" s="225">
        <f t="shared" si="88"/>
        <v>-906.81562403492171</v>
      </c>
      <c r="AD130" s="214">
        <f>IF($D$9="Par",Path!R130,IF($D$9="Con",Path!U130,IF($D$9="Exp",Path!X130,IF($D$9="Hyp",Path!AA130))))</f>
        <v>0</v>
      </c>
      <c r="AE130" s="6">
        <f>IF(B131&gt;0,K130,"")</f>
        <v>29.027803655452772</v>
      </c>
    </row>
    <row r="131" spans="1:42" x14ac:dyDescent="0.2">
      <c r="A131" s="2" t="s">
        <v>14</v>
      </c>
      <c r="B131" s="5">
        <f>B128+1</f>
        <v>36</v>
      </c>
      <c r="C131" s="25">
        <f>Panels!C8</f>
        <v>1.9</v>
      </c>
      <c r="D131" s="26">
        <f>D130-(C130-C131)*$E$23</f>
        <v>28.318429444639591</v>
      </c>
      <c r="E131" s="27"/>
      <c r="F131" s="26">
        <f>IF(TH!$H$18="x",C131,0)</f>
        <v>1.9</v>
      </c>
      <c r="G131" s="26">
        <f>IF(TH!$H$18="x",D131,0)</f>
        <v>28.318429444639591</v>
      </c>
      <c r="H131" s="26"/>
      <c r="I131" s="26"/>
      <c r="J131" s="26">
        <f>J130</f>
        <v>18.88884606171997</v>
      </c>
      <c r="K131" s="26">
        <f>K130</f>
        <v>29.027803655452772</v>
      </c>
      <c r="L131" s="32"/>
      <c r="M131" s="26">
        <f t="shared" ref="M131:O131" si="135">M130</f>
        <v>5.4677167430396008</v>
      </c>
      <c r="N131" s="26">
        <f t="shared" si="135"/>
        <v>326.47965119222556</v>
      </c>
      <c r="O131" s="33">
        <f t="shared" si="135"/>
        <v>1813.6312480698434</v>
      </c>
      <c r="P131" s="10">
        <f t="shared" si="118"/>
        <v>906.81562403492171</v>
      </c>
      <c r="Q131" s="10">
        <f t="shared" si="119"/>
        <v>-906.81562403492171</v>
      </c>
      <c r="R131" s="214">
        <f t="shared" si="120"/>
        <v>0</v>
      </c>
      <c r="S131" s="224">
        <f t="shared" si="129"/>
        <v>906.81562403492171</v>
      </c>
      <c r="T131" s="225">
        <f t="shared" si="130"/>
        <v>-906.81562403492171</v>
      </c>
      <c r="U131" s="214">
        <f t="shared" si="121"/>
        <v>0</v>
      </c>
      <c r="V131" s="224">
        <f t="shared" si="132"/>
        <v>906.81562403492171</v>
      </c>
      <c r="W131" s="225">
        <f t="shared" si="84"/>
        <v>-906.81562403492171</v>
      </c>
      <c r="X131" s="214">
        <f t="shared" si="123"/>
        <v>0</v>
      </c>
      <c r="Y131" s="224">
        <f t="shared" si="133"/>
        <v>906.81562403492171</v>
      </c>
      <c r="Z131" s="225">
        <f t="shared" si="86"/>
        <v>-906.81562403492171</v>
      </c>
      <c r="AA131" s="214">
        <f t="shared" si="126"/>
        <v>0</v>
      </c>
      <c r="AB131" s="224">
        <f t="shared" si="134"/>
        <v>906.81562403492171</v>
      </c>
      <c r="AC131" s="225">
        <f t="shared" si="88"/>
        <v>-906.81562403492171</v>
      </c>
      <c r="AD131" s="214">
        <f>IF($D$9="Par",Path!R131,IF($D$9="Con",Path!U131,IF($D$9="Exp",Path!X131,IF($D$9="Hyp",Path!AA131))))</f>
        <v>0</v>
      </c>
      <c r="AE131" s="6">
        <f>IF(B131&gt;0,K131,"")</f>
        <v>29.027803655452772</v>
      </c>
    </row>
    <row r="132" spans="1:42" x14ac:dyDescent="0.2">
      <c r="B132" s="2"/>
      <c r="C132" s="42"/>
      <c r="D132" s="43"/>
      <c r="E132" s="43"/>
      <c r="F132" s="43"/>
      <c r="G132" s="43"/>
      <c r="H132" s="43"/>
      <c r="I132" s="43"/>
      <c r="J132" s="39">
        <f>J131</f>
        <v>18.88884606171997</v>
      </c>
      <c r="K132" s="39">
        <f>K131</f>
        <v>29.027803655452772</v>
      </c>
      <c r="L132" s="32"/>
      <c r="M132" s="39">
        <f>((H130-H127)^2+(I130-I127)^2)^0.5</f>
        <v>27.281227887772072</v>
      </c>
      <c r="N132" s="39">
        <f>N129+M132</f>
        <v>353.76087907999761</v>
      </c>
      <c r="O132" s="33">
        <f>((C130-C131)^2+(D130-D131)^2)^0.5*Path!$F$3</f>
        <v>1943.8572308784649</v>
      </c>
      <c r="P132" s="10">
        <f t="shared" si="118"/>
        <v>971.92861543923243</v>
      </c>
      <c r="Q132" s="10">
        <f t="shared" si="119"/>
        <v>-971.92861543923243</v>
      </c>
      <c r="R132" s="214">
        <f t="shared" si="120"/>
        <v>2.2737367544323206E-13</v>
      </c>
      <c r="S132" s="224">
        <f t="shared" si="129"/>
        <v>971.92861543923232</v>
      </c>
      <c r="T132" s="225">
        <f t="shared" si="130"/>
        <v>-971.92861543923232</v>
      </c>
      <c r="U132" s="214">
        <f t="shared" si="121"/>
        <v>2.2737367544323206E-13</v>
      </c>
      <c r="V132" s="224">
        <f t="shared" si="132"/>
        <v>971.92861543923232</v>
      </c>
      <c r="W132" s="225">
        <f t="shared" si="84"/>
        <v>-971.92861543923232</v>
      </c>
      <c r="X132" s="214">
        <f t="shared" si="123"/>
        <v>2.2737367544323206E-13</v>
      </c>
      <c r="Y132" s="224">
        <f t="shared" si="133"/>
        <v>971.92861543923232</v>
      </c>
      <c r="Z132" s="225">
        <f t="shared" si="86"/>
        <v>-971.92861543923232</v>
      </c>
      <c r="AA132" s="214">
        <f t="shared" si="126"/>
        <v>2.2737367544323206E-13</v>
      </c>
      <c r="AB132" s="224">
        <f t="shared" si="134"/>
        <v>971.92861543923232</v>
      </c>
      <c r="AC132" s="225">
        <f t="shared" si="88"/>
        <v>-971.92861543923232</v>
      </c>
      <c r="AD132" s="214">
        <f>IF($D$9="Par",Path!R132,IF($D$9="Con",Path!U132,IF($D$9="Exp",Path!X132,IF($D$9="Hyp",Path!AA132))))</f>
        <v>2.2737367544323206E-13</v>
      </c>
      <c r="AE132" s="6">
        <f>IF(B131&gt;0,K132,"")</f>
        <v>29.027803655452772</v>
      </c>
    </row>
    <row r="133" spans="1:42" x14ac:dyDescent="0.2">
      <c r="B133" s="2"/>
      <c r="C133" s="21">
        <f>AO134</f>
        <v>38.238464629784694</v>
      </c>
      <c r="D133" s="21">
        <f>AP134</f>
        <v>1.5173231645791248</v>
      </c>
      <c r="E133" s="23"/>
      <c r="F133" s="22">
        <f>IF(TH!$H$18="x",C133,0)</f>
        <v>38.238464629784694</v>
      </c>
      <c r="G133" s="22">
        <f>IF(TH!$H$18="x",D133,0)</f>
        <v>1.5173231645791248</v>
      </c>
      <c r="H133" s="22">
        <f>SUM(C133:C134)/2</f>
        <v>20.069232314892346</v>
      </c>
      <c r="I133" s="22">
        <f>SUM(D133:D134)/2</f>
        <v>0.75866158228956238</v>
      </c>
      <c r="J133" s="22">
        <f>IF(TH!$H$17="x",H133,0)</f>
        <v>20.069232314892346</v>
      </c>
      <c r="K133" s="22">
        <f>IF(TH!$H$17="x",I133,0)</f>
        <v>0.75866158228956238</v>
      </c>
      <c r="L133" s="34"/>
      <c r="M133" s="22">
        <f t="shared" ref="M133:O133" si="136">M132</f>
        <v>27.281227887772072</v>
      </c>
      <c r="N133" s="22">
        <f t="shared" si="136"/>
        <v>353.76087907999761</v>
      </c>
      <c r="O133" s="35">
        <f t="shared" si="136"/>
        <v>1943.8572308784649</v>
      </c>
      <c r="P133" s="10">
        <f t="shared" si="102"/>
        <v>971.92861543923243</v>
      </c>
      <c r="Q133" s="10">
        <f t="shared" si="103"/>
        <v>-971.92861543923243</v>
      </c>
      <c r="R133" s="214">
        <f t="shared" si="73"/>
        <v>2.2737367544323206E-13</v>
      </c>
      <c r="S133" s="224">
        <f t="shared" si="129"/>
        <v>971.92861543923232</v>
      </c>
      <c r="T133" s="225">
        <f t="shared" si="80"/>
        <v>-971.92861543923232</v>
      </c>
      <c r="U133" s="214">
        <f t="shared" si="74"/>
        <v>2.2737367544323206E-13</v>
      </c>
      <c r="V133" s="224">
        <f t="shared" si="132"/>
        <v>971.92861543923232</v>
      </c>
      <c r="W133" s="225">
        <f t="shared" si="84"/>
        <v>-971.92861543923232</v>
      </c>
      <c r="X133" s="214">
        <f t="shared" si="75"/>
        <v>2.2737367544323206E-13</v>
      </c>
      <c r="Y133" s="224">
        <f t="shared" si="133"/>
        <v>971.92861543923232</v>
      </c>
      <c r="Z133" s="225">
        <f t="shared" si="86"/>
        <v>-971.92861543923232</v>
      </c>
      <c r="AA133" s="214">
        <f t="shared" si="76"/>
        <v>2.2737367544323206E-13</v>
      </c>
      <c r="AB133" s="224">
        <f t="shared" si="134"/>
        <v>971.92861543923232</v>
      </c>
      <c r="AC133" s="225">
        <f t="shared" si="88"/>
        <v>-971.92861543923232</v>
      </c>
      <c r="AD133" s="214">
        <f>IF($D$9="Par",Path!R133,IF($D$9="Con",Path!U133,IF($D$9="Exp",Path!X133,IF($D$9="Hyp",Path!AA133))))</f>
        <v>2.2737367544323206E-13</v>
      </c>
      <c r="AE133" s="6">
        <f>IF(B134&gt;0,K133,"")</f>
        <v>0.75866158228956238</v>
      </c>
      <c r="AH133" s="2" t="str">
        <f>Panels!A6</f>
        <v>Panel A (bottom)</v>
      </c>
      <c r="AI133" s="6">
        <f>Panels!C8</f>
        <v>1.9</v>
      </c>
      <c r="AJ133" s="6">
        <f>Panels!D8</f>
        <v>0</v>
      </c>
      <c r="AK133" s="6">
        <f>AI133+10*$E$21</f>
        <v>11.891293861114107</v>
      </c>
      <c r="AL133" s="6">
        <f>AJ133+10*$E$22</f>
        <v>0.41718938249140031</v>
      </c>
      <c r="AM133" s="9">
        <f>IF(AK133-AI133&lt;&gt;0,(AL133-AJ133)/(AK133-AI133),"vertical")</f>
        <v>4.1755290985394003E-2</v>
      </c>
      <c r="AN133" s="9">
        <f>IF(AM133&lt;&gt;"vertical",(AL133*AI133-AJ133*AK133)/(AI133-AK133),AJ133)</f>
        <v>-7.9335052872248596E-2</v>
      </c>
    </row>
    <row r="134" spans="1:42" x14ac:dyDescent="0.2">
      <c r="B134" s="5">
        <f>B131+1</f>
        <v>37</v>
      </c>
      <c r="C134" s="25">
        <f>Panels!C8</f>
        <v>1.9</v>
      </c>
      <c r="D134" s="25">
        <f>Panels!D8</f>
        <v>0</v>
      </c>
      <c r="E134" s="27"/>
      <c r="F134" s="26">
        <f>IF(TH!$H$18="x",C134,0)</f>
        <v>1.9</v>
      </c>
      <c r="G134" s="26">
        <f>IF(TH!$H$18="x",D134,0)</f>
        <v>0</v>
      </c>
      <c r="H134" s="26"/>
      <c r="I134" s="26"/>
      <c r="J134" s="26">
        <f>J133</f>
        <v>20.069232314892346</v>
      </c>
      <c r="K134" s="26">
        <f>K133</f>
        <v>0.75866158228956238</v>
      </c>
      <c r="L134" s="32"/>
      <c r="M134" s="26">
        <f t="shared" ref="M134:O134" si="137">M133</f>
        <v>27.281227887772072</v>
      </c>
      <c r="N134" s="26">
        <f t="shared" si="137"/>
        <v>353.76087907999761</v>
      </c>
      <c r="O134" s="33">
        <f t="shared" si="137"/>
        <v>1943.8572308784649</v>
      </c>
      <c r="P134" s="10">
        <f t="shared" si="102"/>
        <v>971.92861543923243</v>
      </c>
      <c r="Q134" s="10">
        <f t="shared" si="103"/>
        <v>-971.92861543923243</v>
      </c>
      <c r="R134" s="214">
        <f t="shared" si="73"/>
        <v>2.2737367544323206E-13</v>
      </c>
      <c r="S134" s="224">
        <f t="shared" si="129"/>
        <v>971.92861543923232</v>
      </c>
      <c r="T134" s="225">
        <f t="shared" si="80"/>
        <v>-971.92861543923232</v>
      </c>
      <c r="U134" s="214">
        <f t="shared" si="74"/>
        <v>2.2737367544323206E-13</v>
      </c>
      <c r="V134" s="224">
        <f t="shared" si="132"/>
        <v>971.92861543923232</v>
      </c>
      <c r="W134" s="225">
        <f t="shared" si="84"/>
        <v>-971.92861543923232</v>
      </c>
      <c r="X134" s="214">
        <f t="shared" si="75"/>
        <v>2.2737367544323206E-13</v>
      </c>
      <c r="Y134" s="224">
        <f t="shared" si="133"/>
        <v>971.92861543923232</v>
      </c>
      <c r="Z134" s="225">
        <f t="shared" si="86"/>
        <v>-971.92861543923232</v>
      </c>
      <c r="AA134" s="214">
        <f t="shared" si="76"/>
        <v>2.2737367544323206E-13</v>
      </c>
      <c r="AB134" s="224">
        <f t="shared" si="134"/>
        <v>971.92861543923232</v>
      </c>
      <c r="AC134" s="225">
        <f t="shared" si="88"/>
        <v>-971.92861543923232</v>
      </c>
      <c r="AD134" s="214">
        <f>IF($D$9="Par",Path!R134,IF($D$9="Con",Path!U134,IF($D$9="Exp",Path!X134,IF($D$9="Hyp",Path!AA134))))</f>
        <v>2.2737367544323206E-13</v>
      </c>
      <c r="AE134" s="6">
        <f>IF(B134&gt;0,K134,"")</f>
        <v>0.75866158228956238</v>
      </c>
      <c r="AH134" s="2" t="str">
        <f>Panels!A36</f>
        <v>Panel F (baffle)</v>
      </c>
      <c r="AI134" s="6">
        <f>Panels!C38</f>
        <v>33.145189725885267</v>
      </c>
      <c r="AJ134" s="6">
        <f>Panels!D38</f>
        <v>62.400562594681304</v>
      </c>
      <c r="AK134" s="6">
        <f>Panels!C39</f>
        <v>38.378649153164929</v>
      </c>
      <c r="AL134" s="6">
        <f>Panels!D39</f>
        <v>-0.15839394521591288</v>
      </c>
      <c r="AM134" s="9">
        <f>(AL134-AJ134)/(AK134-AI134)</f>
        <v>-11.953652724201053</v>
      </c>
      <c r="AN134" s="9">
        <f>(AL134*AI134-AJ134*AK134)/(AI134-AK134)</f>
        <v>458.60665005567051</v>
      </c>
      <c r="AO134" s="6">
        <f>IF(AM133&lt;&gt;"vertical",(AN133-AN134)/(AM134-AM133),AI133)</f>
        <v>38.238464629784694</v>
      </c>
      <c r="AP134" s="6">
        <f>AO134*AM134+AN134</f>
        <v>1.5173231645791248</v>
      </c>
    </row>
    <row r="135" spans="1:42" x14ac:dyDescent="0.2">
      <c r="B135" s="2"/>
      <c r="C135" s="42"/>
      <c r="D135" s="43"/>
      <c r="E135" s="43"/>
      <c r="F135" s="43"/>
      <c r="G135" s="43"/>
      <c r="H135" s="43"/>
      <c r="I135" s="43"/>
      <c r="J135" s="39">
        <f>J134</f>
        <v>20.069232314892346</v>
      </c>
      <c r="K135" s="39">
        <f>K134</f>
        <v>0.75866158228956238</v>
      </c>
      <c r="L135" s="32"/>
      <c r="M135" s="39">
        <f>((H133-H130)^2+(I133-I130)^2)^0.5</f>
        <v>28.293775026662043</v>
      </c>
      <c r="N135" s="39">
        <f>N132+M135</f>
        <v>382.05465410665965</v>
      </c>
      <c r="O135" s="33">
        <f>((C133-C134)^2+(D133-D134)^2)^0.5*Path!$F$3</f>
        <v>2078.9165718791901</v>
      </c>
      <c r="P135" s="10">
        <f t="shared" si="102"/>
        <v>1039.458285939595</v>
      </c>
      <c r="Q135" s="10">
        <f t="shared" si="103"/>
        <v>-1039.458285939595</v>
      </c>
      <c r="R135" s="214">
        <f t="shared" si="73"/>
        <v>4.5474735088646412E-13</v>
      </c>
      <c r="S135" s="224">
        <f t="shared" si="129"/>
        <v>1039.4582859395948</v>
      </c>
      <c r="T135" s="225">
        <f t="shared" si="80"/>
        <v>-1039.4582859395948</v>
      </c>
      <c r="U135" s="214">
        <f t="shared" si="74"/>
        <v>4.5474735088646412E-13</v>
      </c>
      <c r="V135" s="224">
        <f t="shared" si="132"/>
        <v>1039.4582859395948</v>
      </c>
      <c r="W135" s="225">
        <f t="shared" si="84"/>
        <v>-1039.4582859395948</v>
      </c>
      <c r="X135" s="214">
        <f t="shared" si="75"/>
        <v>4.5474735088646412E-13</v>
      </c>
      <c r="Y135" s="224">
        <f t="shared" si="133"/>
        <v>1039.4582859395948</v>
      </c>
      <c r="Z135" s="225">
        <f t="shared" si="86"/>
        <v>-1039.4582859395948</v>
      </c>
      <c r="AA135" s="214">
        <f t="shared" si="76"/>
        <v>4.5474735088646412E-13</v>
      </c>
      <c r="AB135" s="224">
        <f t="shared" si="134"/>
        <v>1039.4582859395948</v>
      </c>
      <c r="AC135" s="225">
        <f t="shared" si="88"/>
        <v>-1039.4582859395948</v>
      </c>
      <c r="AD135" s="214">
        <f>IF($D$9="Par",Path!R135,IF($D$9="Con",Path!U135,IF($D$9="Exp",Path!X135,IF($D$9="Hyp",Path!AA135))))</f>
        <v>4.5474735088646412E-13</v>
      </c>
      <c r="AE135" s="6">
        <f>IF(B134&gt;0,K135,"")</f>
        <v>0.75866158228956238</v>
      </c>
    </row>
    <row r="136" spans="1:42" x14ac:dyDescent="0.2">
      <c r="B136" s="2"/>
      <c r="C136" s="25">
        <f>(Panels!C39+C133)/2</f>
        <v>38.308556891474808</v>
      </c>
      <c r="D136" s="25">
        <f>(Panels!D39+D133)/2</f>
        <v>0.67946460968160594</v>
      </c>
      <c r="E136" s="27"/>
      <c r="F136" s="22">
        <f>IF(TH!$H$18="x",C136,0)</f>
        <v>38.308556891474808</v>
      </c>
      <c r="G136" s="22">
        <f>IF(TH!$H$18="x",D136,0)</f>
        <v>0.67946460968160594</v>
      </c>
      <c r="H136" s="22">
        <f>SUM(C136:C137)/2</f>
        <v>20.104278445737403</v>
      </c>
      <c r="I136" s="22">
        <f>SUM(D136:D137)/2</f>
        <v>-8.0660333999295286E-2</v>
      </c>
      <c r="J136" s="22">
        <f>IF(TH!$H$17="x",H136,0)</f>
        <v>20.104278445737403</v>
      </c>
      <c r="K136" s="22">
        <f>IF(TH!$H$17="x",I136,0)</f>
        <v>-8.0660333999295286E-2</v>
      </c>
      <c r="L136" s="34"/>
      <c r="M136" s="22">
        <f t="shared" ref="M136:O136" si="138">M135</f>
        <v>28.293775026662043</v>
      </c>
      <c r="N136" s="22">
        <f t="shared" si="138"/>
        <v>382.05465410665965</v>
      </c>
      <c r="O136" s="35">
        <f t="shared" si="138"/>
        <v>2078.9165718791901</v>
      </c>
      <c r="P136" s="10">
        <f t="shared" si="102"/>
        <v>1039.458285939595</v>
      </c>
      <c r="Q136" s="10">
        <f t="shared" si="103"/>
        <v>-1039.458285939595</v>
      </c>
      <c r="R136" s="214">
        <f t="shared" si="73"/>
        <v>4.5474735088646412E-13</v>
      </c>
      <c r="S136" s="224">
        <f t="shared" si="129"/>
        <v>1039.4582859395948</v>
      </c>
      <c r="T136" s="225">
        <f t="shared" si="80"/>
        <v>-1039.4582859395948</v>
      </c>
      <c r="U136" s="214">
        <f t="shared" si="74"/>
        <v>4.5474735088646412E-13</v>
      </c>
      <c r="V136" s="224">
        <f t="shared" si="132"/>
        <v>1039.4582859395948</v>
      </c>
      <c r="W136" s="225">
        <f t="shared" si="84"/>
        <v>-1039.4582859395948</v>
      </c>
      <c r="X136" s="214">
        <f t="shared" si="75"/>
        <v>4.5474735088646412E-13</v>
      </c>
      <c r="Y136" s="224">
        <f t="shared" si="133"/>
        <v>1039.4582859395948</v>
      </c>
      <c r="Z136" s="225">
        <f t="shared" si="86"/>
        <v>-1039.4582859395948</v>
      </c>
      <c r="AA136" s="214">
        <f t="shared" si="76"/>
        <v>4.5474735088646412E-13</v>
      </c>
      <c r="AB136" s="224">
        <f t="shared" si="134"/>
        <v>1039.4582859395948</v>
      </c>
      <c r="AC136" s="225">
        <f t="shared" si="88"/>
        <v>-1039.4582859395948</v>
      </c>
      <c r="AD136" s="214">
        <f>IF($D$9="Par",Path!R136,IF($D$9="Con",Path!U136,IF($D$9="Exp",Path!X136,IF($D$9="Hyp",Path!AA136))))</f>
        <v>4.5474735088646412E-13</v>
      </c>
      <c r="AE136" s="6">
        <f>IF(B137&gt;0,K136,"")</f>
        <v>-8.0660333999295286E-2</v>
      </c>
      <c r="AH136" s="2" t="str">
        <f>Panels!A6</f>
        <v>Panel A (bottom)</v>
      </c>
      <c r="AI136" s="6">
        <f>Panels!C8</f>
        <v>1.9</v>
      </c>
      <c r="AJ136" s="6">
        <f>Panels!D8</f>
        <v>0</v>
      </c>
      <c r="AK136" s="6">
        <f>Panels!C9</f>
        <v>1.9</v>
      </c>
      <c r="AL136" s="6">
        <f>Panels!D9</f>
        <v>91.44</v>
      </c>
      <c r="AM136" s="9" t="str">
        <f>IF(AK136-AI136&lt;&gt;0,(AL136-AJ136)/(AK136-AI136),"vertical")</f>
        <v>vertical</v>
      </c>
      <c r="AN136" s="9">
        <f>IF(AM136&lt;&gt;"vertical",(AL136*AI136-AJ136*AK136)/(AI136-AK136),AJ136)</f>
        <v>0</v>
      </c>
    </row>
    <row r="137" spans="1:42" x14ac:dyDescent="0.2">
      <c r="A137" s="2" t="s">
        <v>45</v>
      </c>
      <c r="B137" s="5">
        <f>B134+1</f>
        <v>38</v>
      </c>
      <c r="C137" s="25">
        <f>AO137</f>
        <v>1.9</v>
      </c>
      <c r="D137" s="26">
        <f>AP137</f>
        <v>-0.84078527768019651</v>
      </c>
      <c r="E137" s="27"/>
      <c r="F137" s="26">
        <f>IF(TH!$H$18="x",C137,0)</f>
        <v>1.9</v>
      </c>
      <c r="G137" s="26">
        <f>IF(TH!$H$18="x",D137,0)</f>
        <v>-0.84078527768019651</v>
      </c>
      <c r="H137" s="26"/>
      <c r="I137" s="26"/>
      <c r="J137" s="26">
        <f>J136</f>
        <v>20.104278445737403</v>
      </c>
      <c r="K137" s="26">
        <f>K136</f>
        <v>-8.0660333999295286E-2</v>
      </c>
      <c r="L137" s="32"/>
      <c r="M137" s="26">
        <f t="shared" ref="M137:O137" si="139">M136</f>
        <v>28.293775026662043</v>
      </c>
      <c r="N137" s="26">
        <f t="shared" si="139"/>
        <v>382.05465410665965</v>
      </c>
      <c r="O137" s="33">
        <f t="shared" si="139"/>
        <v>2078.9165718791901</v>
      </c>
      <c r="P137" s="10">
        <f t="shared" si="102"/>
        <v>1039.458285939595</v>
      </c>
      <c r="Q137" s="10">
        <f t="shared" si="103"/>
        <v>-1039.458285939595</v>
      </c>
      <c r="R137" s="214">
        <f t="shared" si="73"/>
        <v>4.5474735088646412E-13</v>
      </c>
      <c r="S137" s="224">
        <f t="shared" si="129"/>
        <v>1039.4582859395948</v>
      </c>
      <c r="T137" s="225">
        <f t="shared" si="80"/>
        <v>-1039.4582859395948</v>
      </c>
      <c r="U137" s="214">
        <f t="shared" si="74"/>
        <v>4.5474735088646412E-13</v>
      </c>
      <c r="V137" s="224">
        <f t="shared" si="132"/>
        <v>1039.4582859395948</v>
      </c>
      <c r="W137" s="225">
        <f t="shared" si="84"/>
        <v>-1039.4582859395948</v>
      </c>
      <c r="X137" s="214">
        <f t="shared" si="75"/>
        <v>4.5474735088646412E-13</v>
      </c>
      <c r="Y137" s="224">
        <f t="shared" si="133"/>
        <v>1039.4582859395948</v>
      </c>
      <c r="Z137" s="225">
        <f t="shared" si="86"/>
        <v>-1039.4582859395948</v>
      </c>
      <c r="AA137" s="214">
        <f t="shared" si="76"/>
        <v>4.5474735088646412E-13</v>
      </c>
      <c r="AB137" s="224">
        <f t="shared" si="134"/>
        <v>1039.4582859395948</v>
      </c>
      <c r="AC137" s="225">
        <f t="shared" si="88"/>
        <v>-1039.4582859395948</v>
      </c>
      <c r="AD137" s="214">
        <f>IF($D$9="Par",Path!R137,IF($D$9="Con",Path!U137,IF($D$9="Exp",Path!X137,IF($D$9="Hyp",Path!AA137))))</f>
        <v>4.5474735088646412E-13</v>
      </c>
      <c r="AE137" s="6">
        <f>IF(B137&gt;0,K137,"")</f>
        <v>-8.0660333999295286E-2</v>
      </c>
      <c r="AH137" s="2" t="s">
        <v>69</v>
      </c>
      <c r="AI137" s="6">
        <f>C136</f>
        <v>38.308556891474808</v>
      </c>
      <c r="AJ137" s="6">
        <f>D136</f>
        <v>0.67946460968160594</v>
      </c>
      <c r="AK137" s="6">
        <f>AI137-10*$E$21</f>
        <v>28.317263030360699</v>
      </c>
      <c r="AL137" s="6">
        <f>AJ137-10*$E$22</f>
        <v>0.26227522719020563</v>
      </c>
      <c r="AM137" s="9">
        <f>(AL137-AJ137)/(AK137-AI137)</f>
        <v>4.1755290985393996E-2</v>
      </c>
      <c r="AN137" s="9">
        <f>(AL137*AI137-AJ137*AK137)/(AI137-AK137)</f>
        <v>-0.92012033055244513</v>
      </c>
      <c r="AO137" s="6">
        <f>IF(AM136&lt;&gt;"vertical",(AN136-AN137)/(AM137-AM136),AI136)</f>
        <v>1.9</v>
      </c>
      <c r="AP137" s="6">
        <f>AO137*AM137+AN137</f>
        <v>-0.84078527768019651</v>
      </c>
    </row>
    <row r="138" spans="1:42" x14ac:dyDescent="0.2">
      <c r="B138" s="2"/>
      <c r="C138" s="41"/>
      <c r="D138" s="27"/>
      <c r="E138" s="27"/>
      <c r="F138" s="43"/>
      <c r="G138" s="43"/>
      <c r="H138" s="43"/>
      <c r="I138" s="43"/>
      <c r="J138" s="39">
        <f>J137</f>
        <v>20.104278445737403</v>
      </c>
      <c r="K138" s="39">
        <f>K137</f>
        <v>-8.0660333999295286E-2</v>
      </c>
      <c r="L138" s="32"/>
      <c r="M138" s="39">
        <f>((H136-H133)^2+(I136-I133)^2)^0.5</f>
        <v>0.84005327834013543</v>
      </c>
      <c r="N138" s="39">
        <f>N135+M138</f>
        <v>382.89470738499978</v>
      </c>
      <c r="O138" s="33">
        <f>((C136-C137)^2+(D136-D137)^2)^0.5*Path!$F$3</f>
        <v>2082.9265366884524</v>
      </c>
      <c r="P138" s="10">
        <f t="shared" si="102"/>
        <v>1041.4632683442262</v>
      </c>
      <c r="Q138" s="10">
        <f t="shared" si="103"/>
        <v>-1041.4632683442262</v>
      </c>
      <c r="R138" s="214">
        <f t="shared" si="73"/>
        <v>0</v>
      </c>
      <c r="S138" s="224">
        <f t="shared" si="129"/>
        <v>1041.4632683442262</v>
      </c>
      <c r="T138" s="225">
        <f t="shared" si="80"/>
        <v>-1041.4632683442262</v>
      </c>
      <c r="U138" s="214">
        <f t="shared" si="74"/>
        <v>0</v>
      </c>
      <c r="V138" s="224">
        <f t="shared" si="132"/>
        <v>1041.4632683442262</v>
      </c>
      <c r="W138" s="225">
        <f t="shared" si="84"/>
        <v>-1041.4632683442262</v>
      </c>
      <c r="X138" s="214">
        <f t="shared" si="75"/>
        <v>0</v>
      </c>
      <c r="Y138" s="224">
        <f t="shared" si="133"/>
        <v>1041.4632683442262</v>
      </c>
      <c r="Z138" s="225">
        <f t="shared" si="86"/>
        <v>-1041.4632683442262</v>
      </c>
      <c r="AA138" s="214">
        <f t="shared" si="76"/>
        <v>0</v>
      </c>
      <c r="AB138" s="224">
        <f t="shared" si="134"/>
        <v>1041.4632683442262</v>
      </c>
      <c r="AC138" s="225">
        <f t="shared" si="88"/>
        <v>-1041.4632683442262</v>
      </c>
      <c r="AD138" s="214">
        <f>IF($D$9="Par",Path!R138,IF($D$9="Con",Path!U138,IF($D$9="Exp",Path!X138,IF($D$9="Hyp",Path!AA138))))</f>
        <v>0</v>
      </c>
      <c r="AE138" s="6">
        <f>IF(B137&gt;0,K138,"")</f>
        <v>-8.0660333999295286E-2</v>
      </c>
    </row>
    <row r="139" spans="1:42" x14ac:dyDescent="0.2">
      <c r="B139" s="2"/>
      <c r="C139" s="21"/>
      <c r="D139" s="22"/>
      <c r="E139" s="23"/>
      <c r="F139" s="22"/>
      <c r="G139" s="22"/>
      <c r="H139" s="22"/>
      <c r="I139" s="22"/>
      <c r="J139" s="22"/>
      <c r="K139" s="22"/>
      <c r="L139" s="23"/>
      <c r="M139" s="22"/>
      <c r="N139" s="22"/>
      <c r="O139" s="35"/>
      <c r="P139" s="10"/>
      <c r="Q139" s="10"/>
      <c r="R139" s="215"/>
      <c r="S139" s="226"/>
      <c r="T139" s="227"/>
      <c r="U139" s="215"/>
      <c r="V139" s="236"/>
      <c r="W139" s="237"/>
      <c r="X139" s="215"/>
      <c r="Y139" s="222"/>
      <c r="Z139" s="223"/>
      <c r="AA139" s="215"/>
      <c r="AB139" s="266"/>
      <c r="AC139" s="267"/>
      <c r="AD139" s="215"/>
      <c r="AE139" s="6"/>
    </row>
    <row r="140" spans="1:42" x14ac:dyDescent="0.2">
      <c r="B140" s="5">
        <f>B137+1</f>
        <v>39</v>
      </c>
      <c r="C140" s="25"/>
      <c r="D140" s="26"/>
      <c r="E140" s="27"/>
      <c r="F140" s="26"/>
      <c r="G140" s="26"/>
      <c r="H140" s="26"/>
      <c r="I140" s="26"/>
      <c r="J140" s="26"/>
      <c r="K140" s="26"/>
      <c r="L140" s="27"/>
      <c r="M140" s="26"/>
      <c r="N140" s="26"/>
      <c r="O140" s="33"/>
      <c r="P140" s="10"/>
      <c r="Q140" s="10"/>
      <c r="R140" s="6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6"/>
    </row>
    <row r="141" spans="1:42" x14ac:dyDescent="0.2">
      <c r="B141" s="2"/>
      <c r="C141" s="42"/>
      <c r="D141" s="43"/>
      <c r="E141" s="43"/>
      <c r="F141" s="43"/>
      <c r="G141" s="43"/>
      <c r="H141" s="43"/>
      <c r="I141" s="43"/>
      <c r="J141" s="39"/>
      <c r="K141" s="39"/>
      <c r="L141" s="43"/>
      <c r="M141" s="39"/>
      <c r="N141" s="39"/>
      <c r="O141" s="44"/>
      <c r="P141" s="10"/>
      <c r="Q141" s="10"/>
      <c r="R141" s="6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6"/>
    </row>
    <row r="142" spans="1:42" x14ac:dyDescent="0.2">
      <c r="B142" s="2"/>
      <c r="C142" s="25"/>
      <c r="D142" s="26"/>
      <c r="E142" s="27"/>
      <c r="F142" s="22"/>
      <c r="G142" s="22"/>
      <c r="H142" s="22"/>
      <c r="I142" s="22"/>
      <c r="J142" s="26"/>
      <c r="K142" s="26"/>
      <c r="L142" s="27"/>
      <c r="M142" s="26"/>
      <c r="N142" s="26"/>
      <c r="O142" s="35"/>
      <c r="P142" s="10"/>
      <c r="Q142" s="10"/>
      <c r="R142" s="6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6"/>
    </row>
    <row r="143" spans="1:42" x14ac:dyDescent="0.2">
      <c r="B143" s="5">
        <f>B140+1</f>
        <v>40</v>
      </c>
      <c r="C143" s="25"/>
      <c r="D143" s="26"/>
      <c r="E143" s="27"/>
      <c r="F143" s="26"/>
      <c r="G143" s="26"/>
      <c r="H143" s="26"/>
      <c r="I143" s="26"/>
      <c r="J143" s="26"/>
      <c r="K143" s="26"/>
      <c r="L143" s="27"/>
      <c r="M143" s="26"/>
      <c r="N143" s="26"/>
      <c r="O143" s="33"/>
      <c r="P143" s="10"/>
      <c r="Q143" s="10"/>
      <c r="R143" s="6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6"/>
    </row>
    <row r="144" spans="1:42" x14ac:dyDescent="0.2">
      <c r="B144" s="2"/>
      <c r="C144" s="41"/>
      <c r="D144" s="27"/>
      <c r="E144" s="27"/>
      <c r="F144" s="43"/>
      <c r="G144" s="43"/>
      <c r="H144" s="43"/>
      <c r="I144" s="43"/>
      <c r="J144" s="26"/>
      <c r="K144" s="26"/>
      <c r="L144" s="27"/>
      <c r="M144" s="26"/>
      <c r="N144" s="26"/>
      <c r="O144" s="33"/>
      <c r="P144" s="10"/>
      <c r="Q144" s="10"/>
      <c r="R144" s="6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6"/>
    </row>
    <row r="145" spans="2:31" x14ac:dyDescent="0.2">
      <c r="B145" s="2"/>
      <c r="C145" s="21"/>
      <c r="D145" s="22"/>
      <c r="E145" s="23"/>
      <c r="F145" s="22"/>
      <c r="G145" s="22"/>
      <c r="H145" s="22"/>
      <c r="I145" s="22"/>
      <c r="J145" s="22"/>
      <c r="K145" s="22"/>
      <c r="L145" s="23"/>
      <c r="M145" s="22"/>
      <c r="N145" s="22"/>
      <c r="O145" s="35"/>
      <c r="P145" s="10"/>
      <c r="Q145" s="10"/>
      <c r="R145" s="6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6"/>
    </row>
    <row r="146" spans="2:31" x14ac:dyDescent="0.2">
      <c r="B146" s="5">
        <f>B143+1</f>
        <v>41</v>
      </c>
      <c r="C146" s="25"/>
      <c r="D146" s="26"/>
      <c r="E146" s="27"/>
      <c r="F146" s="26"/>
      <c r="G146" s="26"/>
      <c r="H146" s="26"/>
      <c r="I146" s="26"/>
      <c r="J146" s="26"/>
      <c r="K146" s="26"/>
      <c r="L146" s="27"/>
      <c r="M146" s="26"/>
      <c r="N146" s="26"/>
      <c r="O146" s="33"/>
      <c r="P146" s="10"/>
      <c r="Q146" s="10"/>
      <c r="R146" s="6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6"/>
    </row>
    <row r="147" spans="2:31" x14ac:dyDescent="0.2">
      <c r="B147" s="2"/>
      <c r="C147" s="42"/>
      <c r="D147" s="43"/>
      <c r="E147" s="43"/>
      <c r="F147" s="43"/>
      <c r="G147" s="43"/>
      <c r="H147" s="43"/>
      <c r="I147" s="43"/>
      <c r="J147" s="39"/>
      <c r="K147" s="39"/>
      <c r="L147" s="43"/>
      <c r="M147" s="39"/>
      <c r="N147" s="39"/>
      <c r="O147" s="44"/>
      <c r="P147" s="10"/>
      <c r="Q147" s="10"/>
      <c r="R147" s="6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6"/>
    </row>
    <row r="148" spans="2:31" x14ac:dyDescent="0.2">
      <c r="B148" s="2"/>
      <c r="C148" s="45"/>
      <c r="D148" s="46"/>
      <c r="E148" s="47"/>
      <c r="F148" s="46"/>
      <c r="G148" s="46"/>
      <c r="H148" s="46"/>
      <c r="I148" s="46"/>
      <c r="J148" s="46"/>
      <c r="K148" s="46"/>
      <c r="L148" s="47"/>
      <c r="M148" s="46"/>
      <c r="N148" s="46"/>
      <c r="O148" s="48"/>
      <c r="P148" s="10"/>
      <c r="Q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2:31" x14ac:dyDescent="0.2">
      <c r="B149" s="2"/>
      <c r="C149" s="49"/>
      <c r="D149" s="50"/>
      <c r="E149" s="51"/>
      <c r="F149" s="50"/>
      <c r="G149" s="50"/>
      <c r="H149" s="52"/>
      <c r="I149" s="53"/>
      <c r="J149" s="50"/>
      <c r="K149" s="50"/>
      <c r="L149" s="51"/>
      <c r="M149" s="50"/>
      <c r="N149" s="50"/>
      <c r="O149" s="54"/>
      <c r="P149" s="10"/>
      <c r="Q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2:31" x14ac:dyDescent="0.2">
      <c r="B150" s="2"/>
      <c r="C150" s="55"/>
      <c r="D150" s="56"/>
      <c r="E150" s="56"/>
      <c r="F150" s="56"/>
      <c r="G150" s="56"/>
      <c r="H150" s="56"/>
      <c r="I150" s="56"/>
      <c r="J150" s="57"/>
      <c r="K150" s="57"/>
      <c r="L150" s="56"/>
      <c r="M150" s="57"/>
      <c r="N150" s="57"/>
      <c r="O150" s="58"/>
      <c r="P150" s="10"/>
      <c r="Q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2" spans="2:31" x14ac:dyDescent="0.2"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</sheetData>
  <sheetProtection sheet="1" objects="1" scenarios="1"/>
  <mergeCells count="4">
    <mergeCell ref="S24:T24"/>
    <mergeCell ref="V24:W24"/>
    <mergeCell ref="Y24:Z24"/>
    <mergeCell ref="AB24:AC24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5:AB32"/>
  <sheetViews>
    <sheetView workbookViewId="0">
      <selection activeCell="X32" sqref="X32"/>
    </sheetView>
  </sheetViews>
  <sheetFormatPr defaultRowHeight="11.25" x14ac:dyDescent="0.2"/>
  <cols>
    <col min="1" max="19" width="9.140625" style="143"/>
    <col min="20" max="20" width="18" style="143" customWidth="1"/>
    <col min="21" max="16384" width="9.140625" style="143"/>
  </cols>
  <sheetData>
    <row r="5" spans="1:28" x14ac:dyDescent="0.2">
      <c r="A5" s="2" t="s">
        <v>51</v>
      </c>
      <c r="C5" s="4" t="s">
        <v>5</v>
      </c>
      <c r="D5" s="4" t="s">
        <v>6</v>
      </c>
      <c r="F5" s="4" t="s">
        <v>5</v>
      </c>
      <c r="G5" s="4" t="s">
        <v>6</v>
      </c>
      <c r="T5" s="2" t="s">
        <v>59</v>
      </c>
      <c r="U5" s="4" t="s">
        <v>60</v>
      </c>
      <c r="V5" s="4" t="s">
        <v>61</v>
      </c>
      <c r="W5" s="4" t="s">
        <v>62</v>
      </c>
      <c r="X5" s="4" t="s">
        <v>63</v>
      </c>
      <c r="Y5" s="4" t="s">
        <v>64</v>
      </c>
      <c r="Z5" s="4" t="s">
        <v>65</v>
      </c>
      <c r="AA5" s="4" t="s">
        <v>5</v>
      </c>
      <c r="AB5" s="4" t="s">
        <v>6</v>
      </c>
    </row>
    <row r="6" spans="1:28" x14ac:dyDescent="0.2">
      <c r="C6" s="242">
        <f>AA7</f>
        <v>40.272035367892116</v>
      </c>
      <c r="D6" s="243">
        <f>AB7</f>
        <v>0</v>
      </c>
      <c r="E6" s="244"/>
      <c r="F6" s="243">
        <f>IF(TH!$H$20="x",C6,0)</f>
        <v>0</v>
      </c>
      <c r="G6" s="245">
        <f>IF(TH!$H$20="x",D6,0)</f>
        <v>0</v>
      </c>
      <c r="T6" s="2" t="str">
        <f>Panels!A36</f>
        <v>Panel F (baffle)</v>
      </c>
      <c r="U6" s="178">
        <f>Panels!C36</f>
        <v>40.272035367892116</v>
      </c>
      <c r="V6" s="178">
        <f>Panels!D36</f>
        <v>0</v>
      </c>
      <c r="W6" s="178">
        <f>Panels!C37</f>
        <v>35.038575940612454</v>
      </c>
      <c r="X6" s="178">
        <f>Panels!D37</f>
        <v>62.558956539897217</v>
      </c>
      <c r="Y6" s="152">
        <f>(X6-V6)/(W6-U6)</f>
        <v>-11.953652724201053</v>
      </c>
      <c r="Z6" s="152">
        <f>(X6*U6-V6*W6)/(U6-W6)</f>
        <v>481.39792528452472</v>
      </c>
      <c r="AB6" s="178"/>
    </row>
    <row r="7" spans="1:28" x14ac:dyDescent="0.2">
      <c r="B7" s="5">
        <v>1</v>
      </c>
      <c r="C7" s="246">
        <f>AA10</f>
        <v>32.622490738335244</v>
      </c>
      <c r="D7" s="247">
        <f>AB10</f>
        <v>91.440000000000012</v>
      </c>
      <c r="E7" s="248"/>
      <c r="F7" s="247">
        <f>IF(TH!$H$20="x",C7,0)</f>
        <v>0</v>
      </c>
      <c r="G7" s="249">
        <f>IF(TH!$H$20="x",D7,0)</f>
        <v>0</v>
      </c>
      <c r="T7" s="2" t="str">
        <f>Panels!A18</f>
        <v>Panel C (sides)</v>
      </c>
      <c r="U7" s="178">
        <f>Panels!C20</f>
        <v>0</v>
      </c>
      <c r="V7" s="178">
        <f>Panels!D20</f>
        <v>0</v>
      </c>
      <c r="W7" s="178">
        <f>Panels!C21</f>
        <v>91.44</v>
      </c>
      <c r="X7" s="178">
        <f>Panels!D21</f>
        <v>0</v>
      </c>
      <c r="Y7" s="152">
        <f>(X7-V7)/(W7-U7)</f>
        <v>0</v>
      </c>
      <c r="Z7" s="152">
        <f>(X7*U7-V7*W7)/(U7-W7)</f>
        <v>0</v>
      </c>
      <c r="AA7" s="178">
        <f>(Z6-Z7)/(Y7-Y6)</f>
        <v>40.272035367892116</v>
      </c>
      <c r="AB7" s="178">
        <f>AA7*Y7+Z7</f>
        <v>0</v>
      </c>
    </row>
    <row r="8" spans="1:28" x14ac:dyDescent="0.2">
      <c r="B8" s="2"/>
      <c r="C8" s="250"/>
      <c r="D8" s="251"/>
      <c r="E8" s="251"/>
      <c r="F8" s="252"/>
      <c r="G8" s="253"/>
    </row>
    <row r="9" spans="1:28" x14ac:dyDescent="0.2">
      <c r="C9" s="242">
        <f>AA13</f>
        <v>0</v>
      </c>
      <c r="D9" s="243">
        <f>AB13</f>
        <v>59.627754107549983</v>
      </c>
      <c r="E9" s="244"/>
      <c r="F9" s="243">
        <f>IF(TH!$H$20="x",C9,0)</f>
        <v>0</v>
      </c>
      <c r="G9" s="245">
        <f>IF(TH!$H$20="x",D9,0)</f>
        <v>0</v>
      </c>
      <c r="T9" s="2" t="str">
        <f>T6</f>
        <v>Panel F (baffle)</v>
      </c>
      <c r="U9" s="178">
        <f>U6</f>
        <v>40.272035367892116</v>
      </c>
      <c r="V9" s="178">
        <f>V6</f>
        <v>0</v>
      </c>
      <c r="W9" s="178">
        <f>W6</f>
        <v>35.038575940612454</v>
      </c>
      <c r="X9" s="178">
        <f>X6</f>
        <v>62.558956539897217</v>
      </c>
      <c r="Y9" s="152">
        <f>(X9-V9)/(W9-U9)</f>
        <v>-11.953652724201053</v>
      </c>
      <c r="Z9" s="152">
        <f>(X9*U9-V9*W9)/(U9-W9)</f>
        <v>481.39792528452472</v>
      </c>
      <c r="AA9" s="178"/>
      <c r="AB9" s="178"/>
    </row>
    <row r="10" spans="1:28" x14ac:dyDescent="0.2">
      <c r="B10" s="2">
        <v>2</v>
      </c>
      <c r="C10" s="246">
        <f>AA16</f>
        <v>91.44</v>
      </c>
      <c r="D10" s="247">
        <f>AB16</f>
        <v>67.277298737106833</v>
      </c>
      <c r="E10" s="248"/>
      <c r="F10" s="247">
        <f>IF(TH!$H$20="x",C10,0)</f>
        <v>0</v>
      </c>
      <c r="G10" s="249">
        <f>IF(TH!$H$20="x",D10,0)</f>
        <v>0</v>
      </c>
      <c r="T10" s="2" t="str">
        <f>Panels!A18</f>
        <v>Panel C (sides)</v>
      </c>
      <c r="U10" s="178">
        <f>Panels!C19</f>
        <v>0</v>
      </c>
      <c r="V10" s="178">
        <f>Panels!D19</f>
        <v>91.44</v>
      </c>
      <c r="W10" s="178">
        <f>Panels!C18</f>
        <v>91.44</v>
      </c>
      <c r="X10" s="178">
        <f>Panels!D18</f>
        <v>91.44</v>
      </c>
      <c r="Y10" s="152">
        <f>(X10-V10)/(W10-U10)</f>
        <v>0</v>
      </c>
      <c r="Z10" s="152">
        <f>(X10*U10-V10*W10)/(U10-W10)</f>
        <v>91.440000000000012</v>
      </c>
      <c r="AA10" s="178">
        <f>(Z9-Z10)/(Y10-Y9)</f>
        <v>32.622490738335244</v>
      </c>
      <c r="AB10" s="178">
        <f>AA10*Y10+Z10</f>
        <v>91.440000000000012</v>
      </c>
    </row>
    <row r="11" spans="1:28" x14ac:dyDescent="0.2">
      <c r="C11" s="254"/>
      <c r="D11" s="255"/>
      <c r="E11" s="255"/>
      <c r="F11" s="252"/>
      <c r="G11" s="253"/>
    </row>
    <row r="12" spans="1:28" x14ac:dyDescent="0.2">
      <c r="B12" s="2"/>
      <c r="C12" s="242">
        <f>Panels!C39</f>
        <v>38.378649153164929</v>
      </c>
      <c r="D12" s="243">
        <f>Panels!D39</f>
        <v>-0.15839394521591288</v>
      </c>
      <c r="E12" s="244"/>
      <c r="F12" s="243">
        <f>IF(TH!$H$20="x",C12,0)</f>
        <v>0</v>
      </c>
      <c r="G12" s="245">
        <f>IF(TH!$H$20="x",D12,0)</f>
        <v>0</v>
      </c>
      <c r="T12" s="2" t="str">
        <f>Panels!A42</f>
        <v>Panel G (2nd inside)</v>
      </c>
      <c r="U12" s="178">
        <f>Panels!C46</f>
        <v>35.038575940612454</v>
      </c>
      <c r="V12" s="178">
        <f>Panels!D46</f>
        <v>62.558956539897217</v>
      </c>
      <c r="W12" s="178">
        <f>Panels!C45</f>
        <v>67.855592427602986</v>
      </c>
      <c r="X12" s="178">
        <f>Panels!D45</f>
        <v>65.304311223035199</v>
      </c>
      <c r="Y12" s="152">
        <f>(X12-V12)/(W12-U12)</f>
        <v>8.3656437331111694E-2</v>
      </c>
      <c r="Z12" s="152">
        <f>(X12*U12-V12*W12)/(U12-W12)</f>
        <v>59.627754107549983</v>
      </c>
    </row>
    <row r="13" spans="1:28" x14ac:dyDescent="0.2">
      <c r="B13" s="2">
        <v>3</v>
      </c>
      <c r="C13" s="246">
        <f>(D13-Panels!D38)*(Panels!C39-Panels!C38)/(Panels!D39-Panels!D38)+Panels!C38</f>
        <v>38.365398480013347</v>
      </c>
      <c r="D13" s="247">
        <f>Panels!D20</f>
        <v>0</v>
      </c>
      <c r="E13" s="248"/>
      <c r="F13" s="247">
        <f>IF(TH!$H$20="x",C13,0)</f>
        <v>0</v>
      </c>
      <c r="G13" s="249">
        <f>IF(TH!$H$20="x",D13,0)</f>
        <v>0</v>
      </c>
      <c r="T13" s="2" t="str">
        <f>Panels!A18</f>
        <v>Panel C (sides)</v>
      </c>
      <c r="U13" s="178">
        <f>Panels!C20</f>
        <v>0</v>
      </c>
      <c r="V13" s="178">
        <f>Panels!D20</f>
        <v>0</v>
      </c>
      <c r="W13" s="178">
        <f>Panels!C19</f>
        <v>0</v>
      </c>
      <c r="X13" s="178">
        <f>Panels!D19</f>
        <v>91.44</v>
      </c>
      <c r="Y13" s="152"/>
      <c r="Z13" s="152"/>
      <c r="AA13" s="178">
        <f>U13</f>
        <v>0</v>
      </c>
      <c r="AB13" s="178">
        <f>Z12+Y12*U13</f>
        <v>59.627754107549983</v>
      </c>
    </row>
    <row r="14" spans="1:28" x14ac:dyDescent="0.2">
      <c r="B14" s="2"/>
      <c r="C14" s="256"/>
      <c r="D14" s="257"/>
      <c r="E14" s="257"/>
      <c r="F14" s="252"/>
      <c r="G14" s="253"/>
    </row>
    <row r="15" spans="1:28" x14ac:dyDescent="0.2">
      <c r="B15" s="2"/>
      <c r="C15" s="242">
        <f>Panels!C54</f>
        <v>56.134206743353026</v>
      </c>
      <c r="D15" s="243">
        <f>D13</f>
        <v>0</v>
      </c>
      <c r="E15" s="244"/>
      <c r="F15" s="243">
        <f>IF(TH!$H$20="x",C15,0)</f>
        <v>0</v>
      </c>
      <c r="G15" s="245">
        <f>IF(TH!$H$20="x",D15,0)</f>
        <v>0</v>
      </c>
      <c r="T15" s="2" t="str">
        <f t="shared" ref="T15:Z15" si="0">T12</f>
        <v>Panel G (2nd inside)</v>
      </c>
      <c r="U15" s="178">
        <f t="shared" si="0"/>
        <v>35.038575940612454</v>
      </c>
      <c r="V15" s="178">
        <f t="shared" si="0"/>
        <v>62.558956539897217</v>
      </c>
      <c r="W15" s="178">
        <f t="shared" si="0"/>
        <v>67.855592427602986</v>
      </c>
      <c r="X15" s="178">
        <f t="shared" si="0"/>
        <v>65.304311223035199</v>
      </c>
      <c r="Y15" s="178">
        <f t="shared" si="0"/>
        <v>8.3656437331111694E-2</v>
      </c>
      <c r="Z15" s="178">
        <f t="shared" si="0"/>
        <v>59.627754107549983</v>
      </c>
    </row>
    <row r="16" spans="1:28" x14ac:dyDescent="0.2">
      <c r="B16" s="2">
        <v>4</v>
      </c>
      <c r="C16" s="246">
        <f>C15</f>
        <v>56.134206743353026</v>
      </c>
      <c r="D16" s="247">
        <f>D7</f>
        <v>91.440000000000012</v>
      </c>
      <c r="E16" s="248"/>
      <c r="F16" s="247">
        <f>IF(TH!$H$20="x",C16,0)</f>
        <v>0</v>
      </c>
      <c r="G16" s="249">
        <f>IF(TH!$H$20="x",D16,0)</f>
        <v>0</v>
      </c>
      <c r="T16" s="2" t="str">
        <f>Panels!A18</f>
        <v>Panel C (sides)</v>
      </c>
      <c r="U16" s="178">
        <f>Panels!C21</f>
        <v>91.44</v>
      </c>
      <c r="V16" s="178">
        <f>Panels!D21</f>
        <v>0</v>
      </c>
      <c r="W16" s="178">
        <f>Panels!C22</f>
        <v>91.44</v>
      </c>
      <c r="X16" s="178">
        <f>Panels!D22</f>
        <v>91.44</v>
      </c>
      <c r="Y16" s="152"/>
      <c r="Z16" s="152"/>
      <c r="AA16" s="178">
        <f>U16</f>
        <v>91.44</v>
      </c>
      <c r="AB16" s="178">
        <f>Z15+Y15*U16</f>
        <v>67.277298737106833</v>
      </c>
    </row>
    <row r="17" spans="2:28" x14ac:dyDescent="0.2">
      <c r="B17" s="2"/>
      <c r="C17" s="256"/>
      <c r="D17" s="257"/>
      <c r="E17" s="257"/>
      <c r="F17" s="252"/>
      <c r="G17" s="253"/>
    </row>
    <row r="18" spans="2:28" x14ac:dyDescent="0.2">
      <c r="B18" s="2"/>
      <c r="C18" s="242">
        <f>AA19</f>
        <v>73.318718446884247</v>
      </c>
      <c r="D18" s="243">
        <f>AB19</f>
        <v>0</v>
      </c>
      <c r="E18" s="244"/>
      <c r="F18" s="243">
        <f>IF(TH!$H$20="x",C18,0)</f>
        <v>0</v>
      </c>
      <c r="G18" s="245">
        <f>IF(TH!$H$20="x",D18,0)</f>
        <v>0</v>
      </c>
      <c r="T18" s="2" t="str">
        <f>Panels!A60</f>
        <v>Panel J (5th inside)</v>
      </c>
      <c r="U18" s="178">
        <f>Panels!C60</f>
        <v>67.855592427602986</v>
      </c>
      <c r="V18" s="178">
        <f>Panels!D60</f>
        <v>65.304311223035199</v>
      </c>
      <c r="W18" s="178">
        <f>Panels!C61</f>
        <v>71.919536260218237</v>
      </c>
      <c r="X18" s="178">
        <f>Panels!D61</f>
        <v>16.725337957293867</v>
      </c>
      <c r="Y18" s="152">
        <f>(X18-V18)/(W18-U18)</f>
        <v>-11.953652724201044</v>
      </c>
      <c r="Z18" s="152">
        <f>(X18*U18-V18*W18)/(U18-W18)</f>
        <v>876.42649849752718</v>
      </c>
    </row>
    <row r="19" spans="2:28" x14ac:dyDescent="0.2">
      <c r="B19" s="2">
        <v>5</v>
      </c>
      <c r="C19" s="246">
        <f>AA22</f>
        <v>65.669173817327362</v>
      </c>
      <c r="D19" s="247">
        <f>AB22</f>
        <v>91.440000000000012</v>
      </c>
      <c r="E19" s="248"/>
      <c r="F19" s="247">
        <f>IF(TH!$H$20="x",C19,0)</f>
        <v>0</v>
      </c>
      <c r="G19" s="249">
        <f>IF(TH!$H$20="x",D19,0)</f>
        <v>0</v>
      </c>
      <c r="T19" s="2" t="str">
        <f>Panels!A18</f>
        <v>Panel C (sides)</v>
      </c>
      <c r="U19" s="178">
        <f>Panels!C20</f>
        <v>0</v>
      </c>
      <c r="V19" s="178">
        <f>Panels!D20</f>
        <v>0</v>
      </c>
      <c r="W19" s="178">
        <f>Panels!C21</f>
        <v>91.44</v>
      </c>
      <c r="X19" s="178">
        <f>Panels!D21</f>
        <v>0</v>
      </c>
      <c r="Y19" s="152">
        <f>(X19-V19)/(W19-U19)</f>
        <v>0</v>
      </c>
      <c r="Z19" s="152">
        <f>(X19*U19-V19*W19)/(U19-W19)</f>
        <v>0</v>
      </c>
      <c r="AA19" s="178">
        <f>(Z18-Z19)/(Y19-Y18)</f>
        <v>73.318718446884247</v>
      </c>
      <c r="AB19" s="178">
        <f>AA19*Y19+Z19</f>
        <v>0</v>
      </c>
    </row>
    <row r="20" spans="2:28" x14ac:dyDescent="0.2">
      <c r="B20" s="2"/>
      <c r="C20" s="256"/>
      <c r="D20" s="257"/>
      <c r="E20" s="257"/>
      <c r="F20" s="252"/>
      <c r="G20" s="253"/>
      <c r="AA20" s="178"/>
      <c r="AB20" s="178"/>
    </row>
    <row r="21" spans="2:28" x14ac:dyDescent="0.2">
      <c r="B21" s="2"/>
      <c r="C21" s="242"/>
      <c r="D21" s="243"/>
      <c r="E21" s="244"/>
      <c r="F21" s="243"/>
      <c r="G21" s="245"/>
      <c r="T21" s="2" t="str">
        <f>T18</f>
        <v>Panel J (5th inside)</v>
      </c>
      <c r="U21" s="178">
        <f>U18</f>
        <v>67.855592427602986</v>
      </c>
      <c r="V21" s="178">
        <f t="shared" ref="V21:X21" si="1">V18</f>
        <v>65.304311223035199</v>
      </c>
      <c r="W21" s="178">
        <f t="shared" si="1"/>
        <v>71.919536260218237</v>
      </c>
      <c r="X21" s="178">
        <f t="shared" si="1"/>
        <v>16.725337957293867</v>
      </c>
      <c r="Y21" s="152">
        <f>(X21-V21)/(W21-U21)</f>
        <v>-11.953652724201044</v>
      </c>
      <c r="Z21" s="152">
        <f>(X21*U21-V21*W21)/(U21-W21)</f>
        <v>876.42649849752718</v>
      </c>
    </row>
    <row r="22" spans="2:28" x14ac:dyDescent="0.2">
      <c r="B22" s="2">
        <v>6</v>
      </c>
      <c r="C22" s="246"/>
      <c r="D22" s="247"/>
      <c r="E22" s="248"/>
      <c r="F22" s="247"/>
      <c r="G22" s="249"/>
      <c r="T22" s="2" t="str">
        <f>T19</f>
        <v>Panel C (sides)</v>
      </c>
      <c r="U22" s="178">
        <f>Panels!C18</f>
        <v>91.44</v>
      </c>
      <c r="V22" s="178">
        <f>Panels!D18</f>
        <v>91.44</v>
      </c>
      <c r="W22" s="178">
        <f>Panels!C19</f>
        <v>0</v>
      </c>
      <c r="X22" s="178">
        <f>Panels!D19</f>
        <v>91.44</v>
      </c>
      <c r="Y22" s="152">
        <f>(X22-V22)/(W22-U22)</f>
        <v>0</v>
      </c>
      <c r="Z22" s="152">
        <f>(X22*U22-V22*W22)/(U22-W22)</f>
        <v>91.440000000000012</v>
      </c>
      <c r="AA22" s="178">
        <f>(Z21-Z22)/(Y22-Y21)</f>
        <v>65.669173817327362</v>
      </c>
      <c r="AB22" s="178">
        <f>AA22*Y22+Z22</f>
        <v>91.440000000000012</v>
      </c>
    </row>
    <row r="23" spans="2:28" x14ac:dyDescent="0.2">
      <c r="B23" s="2"/>
      <c r="C23" s="256"/>
      <c r="D23" s="257"/>
      <c r="E23" s="257"/>
      <c r="F23" s="252"/>
      <c r="G23" s="253"/>
    </row>
    <row r="24" spans="2:28" x14ac:dyDescent="0.2">
      <c r="B24" s="2"/>
      <c r="C24" s="242">
        <f>(D24-Panels!D51)*(Panels!C50-Panels!C51)/(Panels!D50-Panels!D51)+Panels!C51</f>
        <v>47.347047943995584</v>
      </c>
      <c r="D24" s="243">
        <f>Panels!D20</f>
        <v>0</v>
      </c>
      <c r="E24" s="244"/>
      <c r="F24" s="243">
        <f>IF(TH!$H$20="x",C24,0)</f>
        <v>0</v>
      </c>
      <c r="G24" s="245">
        <f>IF(TH!$H$20="x",D24,0)</f>
        <v>0</v>
      </c>
      <c r="T24" s="2"/>
      <c r="U24" s="178"/>
      <c r="V24" s="178"/>
      <c r="W24" s="178"/>
      <c r="X24" s="178"/>
      <c r="Y24" s="152"/>
      <c r="Z24" s="152"/>
    </row>
    <row r="25" spans="2:28" x14ac:dyDescent="0.2">
      <c r="B25" s="2">
        <v>7</v>
      </c>
      <c r="C25" s="246">
        <f>(D25-Panels!D51)*(Panels!C50-Panels!C51)/(Panels!D50-Panels!D51)+Panels!C51</f>
        <v>39.69750331443872</v>
      </c>
      <c r="D25" s="247">
        <f>Panels!D19</f>
        <v>91.44</v>
      </c>
      <c r="E25" s="248"/>
      <c r="F25" s="247">
        <f>IF(TH!$H$20="x",C25,0)</f>
        <v>0</v>
      </c>
      <c r="G25" s="249">
        <f>IF(TH!$H$20="x",D25,0)</f>
        <v>0</v>
      </c>
      <c r="T25" s="2"/>
      <c r="U25" s="178"/>
      <c r="V25" s="178"/>
      <c r="W25" s="178"/>
      <c r="X25" s="178"/>
      <c r="Y25" s="152"/>
      <c r="Z25" s="152"/>
      <c r="AA25" s="178"/>
      <c r="AB25" s="178"/>
    </row>
    <row r="26" spans="2:28" x14ac:dyDescent="0.2">
      <c r="B26" s="2"/>
      <c r="C26" s="256"/>
      <c r="D26" s="257"/>
      <c r="E26" s="257"/>
      <c r="F26" s="252"/>
      <c r="G26" s="253"/>
    </row>
    <row r="27" spans="2:28" x14ac:dyDescent="0.2">
      <c r="B27" s="2"/>
      <c r="C27" s="242"/>
      <c r="D27" s="243"/>
      <c r="E27" s="244"/>
      <c r="F27" s="243"/>
      <c r="G27" s="245"/>
    </row>
    <row r="28" spans="2:28" x14ac:dyDescent="0.2">
      <c r="B28" s="2">
        <v>8</v>
      </c>
      <c r="C28" s="246"/>
      <c r="D28" s="247"/>
      <c r="E28" s="248"/>
      <c r="F28" s="247"/>
      <c r="G28" s="249"/>
    </row>
    <row r="29" spans="2:28" x14ac:dyDescent="0.2">
      <c r="B29" s="2"/>
      <c r="C29" s="256"/>
      <c r="D29" s="257"/>
      <c r="E29" s="257"/>
      <c r="F29" s="252"/>
      <c r="G29" s="253"/>
    </row>
    <row r="30" spans="2:28" x14ac:dyDescent="0.2">
      <c r="B30" s="2"/>
      <c r="C30" s="242"/>
      <c r="D30" s="243"/>
      <c r="E30" s="244"/>
      <c r="F30" s="243"/>
      <c r="G30" s="245"/>
    </row>
    <row r="31" spans="2:28" x14ac:dyDescent="0.2">
      <c r="B31" s="2">
        <v>9</v>
      </c>
      <c r="C31" s="246"/>
      <c r="D31" s="247"/>
      <c r="E31" s="248"/>
      <c r="F31" s="247"/>
      <c r="G31" s="249"/>
    </row>
    <row r="32" spans="2:28" x14ac:dyDescent="0.2">
      <c r="B32" s="2"/>
      <c r="C32" s="256"/>
      <c r="D32" s="257"/>
      <c r="E32" s="257"/>
      <c r="F32" s="252"/>
      <c r="G32" s="253"/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</vt:lpstr>
      <vt:lpstr>Panels</vt:lpstr>
      <vt:lpstr>Path</vt:lpstr>
      <vt:lpstr>Guides</vt:lpstr>
    </vt:vector>
  </TitlesOfParts>
  <Company>B&amp;G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Steele</dc:creator>
  <cp:lastModifiedBy>Brian.Steele</cp:lastModifiedBy>
  <cp:lastPrinted>2013-11-17T17:14:13Z</cp:lastPrinted>
  <dcterms:created xsi:type="dcterms:W3CDTF">2010-07-12T00:49:36Z</dcterms:created>
  <dcterms:modified xsi:type="dcterms:W3CDTF">2019-02-07T12:13:18Z</dcterms:modified>
</cp:coreProperties>
</file>