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 codeName="{22E68647-3C60-695B-3CA0-4895CD717B8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3edf54d9706e4d/Downloads/"/>
    </mc:Choice>
  </mc:AlternateContent>
  <xr:revisionPtr revIDLastSave="306" documentId="8_{2C389490-FFEF-43D6-97EF-8D445681D43D}" xr6:coauthVersionLast="40" xr6:coauthVersionMax="40" xr10:uidLastSave="{0C1FC383-1117-4BAA-830F-B2550C1D4E17}"/>
  <bookViews>
    <workbookView xWindow="-120" yWindow="-120" windowWidth="38640" windowHeight="21390" xr2:uid="{00000000-000D-0000-FFFF-FFFF00000000}"/>
  </bookViews>
  <sheets>
    <sheet name="Information" sheetId="1" r:id="rId1"/>
    <sheet name="Panel Calculations" sheetId="3" r:id="rId2"/>
    <sheet name="Path Calculations" sheetId="2" r:id="rId3"/>
    <sheet name="Guides" sheetId="4" r:id="rId4"/>
  </sheets>
  <definedNames>
    <definedName name="Expansion">Information!$F$41</definedName>
    <definedName name="Expansion_err">Information!$G$41</definedName>
    <definedName name="Filename">Information!$D$66</definedName>
    <definedName name="PanelE">Information!$F$48</definedName>
    <definedName name="PanelE_err">Information!$G$48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1" l="1"/>
  <c r="M11" i="4"/>
  <c r="L11" i="4"/>
  <c r="K11" i="4"/>
  <c r="J11" i="4"/>
  <c r="D82" i="1"/>
  <c r="D85" i="1" s="1"/>
  <c r="D62" i="3"/>
  <c r="D13" i="1"/>
  <c r="D12" i="1"/>
  <c r="F65" i="2"/>
  <c r="C40" i="2"/>
  <c r="O2" i="2"/>
  <c r="Q2" i="2" s="1"/>
  <c r="D11" i="1"/>
  <c r="P2" i="2" l="1"/>
  <c r="R2" i="2"/>
  <c r="O3" i="2"/>
  <c r="I12" i="1"/>
  <c r="B51" i="1" s="1"/>
  <c r="R3" i="2" l="1"/>
  <c r="Q3" i="2"/>
  <c r="P3" i="2"/>
  <c r="I10" i="4"/>
  <c r="I9" i="4"/>
  <c r="F27" i="4"/>
  <c r="D27" i="4"/>
  <c r="D28" i="4" s="1"/>
  <c r="G28" i="4" s="1"/>
  <c r="D24" i="4"/>
  <c r="G24" i="4" s="1"/>
  <c r="F25" i="4"/>
  <c r="F24" i="4"/>
  <c r="G18" i="4"/>
  <c r="G19" i="4"/>
  <c r="G16" i="4"/>
  <c r="G15" i="4"/>
  <c r="G13" i="4"/>
  <c r="G12" i="4"/>
  <c r="F19" i="4"/>
  <c r="F18" i="4"/>
  <c r="F16" i="4"/>
  <c r="F15" i="4"/>
  <c r="F13" i="4"/>
  <c r="F12" i="4"/>
  <c r="G27" i="4" l="1"/>
  <c r="J82" i="1"/>
  <c r="J105" i="1"/>
  <c r="J104" i="1"/>
  <c r="J103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4" i="1"/>
  <c r="J80" i="1"/>
  <c r="J76" i="1"/>
  <c r="J72" i="1"/>
  <c r="J71" i="1"/>
  <c r="J70" i="1"/>
  <c r="J69" i="1"/>
  <c r="J68" i="1"/>
  <c r="J102" i="1" l="1"/>
  <c r="J85" i="1"/>
  <c r="D45" i="1" l="1"/>
  <c r="I11" i="1"/>
  <c r="B50" i="1" s="1"/>
  <c r="I10" i="1"/>
  <c r="B49" i="1" s="1"/>
  <c r="I9" i="1"/>
  <c r="B48" i="1" s="1"/>
  <c r="D44" i="1"/>
  <c r="I8" i="1"/>
  <c r="B47" i="1" s="1"/>
  <c r="D52" i="1"/>
  <c r="I7" i="1"/>
  <c r="B46" i="1" s="1"/>
  <c r="I6" i="1"/>
  <c r="B45" i="1" s="1"/>
  <c r="I5" i="1"/>
  <c r="B44" i="1" s="1"/>
  <c r="F18" i="1"/>
  <c r="P6" i="2"/>
  <c r="P7" i="2" s="1"/>
  <c r="O8" i="2"/>
  <c r="O9" i="2" s="1"/>
  <c r="O10" i="2" s="1"/>
  <c r="N9" i="2"/>
  <c r="N10" i="2" s="1"/>
  <c r="N6" i="2"/>
  <c r="N7" i="2" s="1"/>
  <c r="O22" i="3"/>
  <c r="O23" i="3" l="1"/>
  <c r="Q22" i="3"/>
  <c r="R22" i="3"/>
  <c r="P22" i="3"/>
  <c r="E67" i="3"/>
  <c r="D67" i="3"/>
  <c r="D39" i="1"/>
  <c r="F12" i="1"/>
  <c r="P23" i="3" l="1"/>
  <c r="Q23" i="3"/>
  <c r="R23" i="3"/>
  <c r="G67" i="3"/>
  <c r="E81" i="3"/>
  <c r="E82" i="3" s="1"/>
  <c r="H82" i="3" s="1"/>
  <c r="H67" i="3"/>
  <c r="E68" i="3"/>
  <c r="D43" i="3"/>
  <c r="G43" i="3" l="1"/>
  <c r="D73" i="3"/>
  <c r="G73" i="3" s="1"/>
  <c r="H68" i="3"/>
  <c r="K10" i="4"/>
  <c r="E85" i="3"/>
  <c r="H85" i="3" s="1"/>
  <c r="K82" i="3"/>
  <c r="H81" i="3"/>
  <c r="E87" i="3"/>
  <c r="H87" i="3" s="1"/>
  <c r="E93" i="3"/>
  <c r="E97" i="3" s="1"/>
  <c r="H97" i="3" s="1"/>
  <c r="E91" i="3" l="1"/>
  <c r="H91" i="3" s="1"/>
  <c r="E88" i="3"/>
  <c r="H88" i="3" s="1"/>
  <c r="E94" i="3"/>
  <c r="K94" i="3" s="1"/>
  <c r="H93" i="3"/>
  <c r="H94" i="3"/>
  <c r="K88" i="3" l="1"/>
  <c r="E99" i="3"/>
  <c r="E102" i="3" s="1"/>
  <c r="E103" i="3"/>
  <c r="H103" i="3" s="1"/>
  <c r="H99" i="3"/>
  <c r="H102" i="3" l="1"/>
  <c r="K103" i="3"/>
  <c r="P8" i="3" l="1"/>
  <c r="P7" i="3"/>
  <c r="O7" i="3"/>
  <c r="D59" i="1" l="1"/>
  <c r="D63" i="1" s="1"/>
  <c r="D61" i="1" l="1"/>
  <c r="F61" i="1" s="1"/>
  <c r="F59" i="1"/>
  <c r="D50" i="1" l="1"/>
  <c r="D20" i="1" s="1"/>
  <c r="D49" i="1"/>
  <c r="D48" i="1"/>
  <c r="D47" i="1"/>
  <c r="D46" i="1"/>
  <c r="F4" i="1"/>
  <c r="F5" i="1"/>
  <c r="F6" i="1"/>
  <c r="F7" i="1"/>
  <c r="F8" i="1"/>
  <c r="F16" i="1"/>
  <c r="F17" i="1"/>
  <c r="F11" i="1"/>
  <c r="E46" i="1" l="1"/>
  <c r="E45" i="1"/>
  <c r="E49" i="1"/>
  <c r="E48" i="1"/>
  <c r="E47" i="1"/>
  <c r="E44" i="1"/>
  <c r="E52" i="1"/>
  <c r="D62" i="1"/>
  <c r="E49" i="3"/>
  <c r="H49" i="3" s="1"/>
  <c r="E43" i="3"/>
  <c r="E61" i="3" s="1"/>
  <c r="E100" i="3"/>
  <c r="F20" i="1"/>
  <c r="C7" i="2"/>
  <c r="O7" i="2"/>
  <c r="J60" i="1"/>
  <c r="K62" i="1"/>
  <c r="H43" i="3" l="1"/>
  <c r="E73" i="3"/>
  <c r="H73" i="3" s="1"/>
  <c r="C10" i="2"/>
  <c r="K100" i="3"/>
  <c r="E101" i="3"/>
  <c r="H100" i="3"/>
  <c r="K101" i="3" l="1"/>
  <c r="E117" i="3"/>
  <c r="C13" i="2"/>
  <c r="K102" i="3"/>
  <c r="H101" i="3"/>
  <c r="H117" i="3" l="1"/>
  <c r="E121" i="3"/>
  <c r="H121" i="3" s="1"/>
  <c r="E118" i="3"/>
  <c r="C16" i="2"/>
  <c r="K118" i="3" l="1"/>
  <c r="H118" i="3"/>
  <c r="H61" i="3"/>
  <c r="D3" i="4"/>
  <c r="C19" i="2"/>
  <c r="E45" i="2"/>
  <c r="E111" i="3"/>
  <c r="D68" i="3"/>
  <c r="D71" i="3"/>
  <c r="G71" i="3" s="1"/>
  <c r="D70" i="3"/>
  <c r="D46" i="3"/>
  <c r="G46" i="3" s="1"/>
  <c r="D47" i="3"/>
  <c r="G47" i="3" s="1"/>
  <c r="D4" i="4" l="1"/>
  <c r="G4" i="4" s="1"/>
  <c r="G3" i="4"/>
  <c r="G70" i="3"/>
  <c r="G68" i="3"/>
  <c r="J10" i="4"/>
  <c r="C22" i="2"/>
  <c r="E112" i="3"/>
  <c r="K112" i="3" s="1"/>
  <c r="E115" i="3"/>
  <c r="H115" i="3" s="1"/>
  <c r="H111" i="3"/>
  <c r="D37" i="3"/>
  <c r="D44" i="3"/>
  <c r="G44" i="3" s="1"/>
  <c r="D81" i="3"/>
  <c r="D49" i="3"/>
  <c r="J71" i="3"/>
  <c r="D58" i="2"/>
  <c r="G58" i="2" s="1"/>
  <c r="J47" i="3"/>
  <c r="G49" i="3" l="1"/>
  <c r="C4" i="4"/>
  <c r="F4" i="4" s="1"/>
  <c r="N11" i="4"/>
  <c r="O11" i="4"/>
  <c r="C25" i="2"/>
  <c r="C28" i="2" s="1"/>
  <c r="G37" i="3"/>
  <c r="D45" i="3"/>
  <c r="J44" i="3"/>
  <c r="D87" i="3"/>
  <c r="G81" i="3"/>
  <c r="H112" i="3"/>
  <c r="D41" i="3"/>
  <c r="G41" i="3" s="1"/>
  <c r="D40" i="3"/>
  <c r="G40" i="3" s="1"/>
  <c r="D38" i="3"/>
  <c r="D84" i="3"/>
  <c r="G84" i="3" s="1"/>
  <c r="D82" i="3"/>
  <c r="D85" i="3"/>
  <c r="G85" i="3" s="1"/>
  <c r="D50" i="3"/>
  <c r="D53" i="3"/>
  <c r="G53" i="3" s="1"/>
  <c r="D57" i="2"/>
  <c r="P11" i="4" l="1"/>
  <c r="G50" i="3"/>
  <c r="D74" i="3"/>
  <c r="G74" i="3" s="1"/>
  <c r="C10" i="4"/>
  <c r="F10" i="4" s="1"/>
  <c r="C31" i="2"/>
  <c r="J45" i="3"/>
  <c r="G45" i="3"/>
  <c r="G38" i="3"/>
  <c r="J46" i="3"/>
  <c r="D55" i="3"/>
  <c r="Z10" i="2" s="1"/>
  <c r="J38" i="3"/>
  <c r="D93" i="3"/>
  <c r="G82" i="3"/>
  <c r="D94" i="3"/>
  <c r="D90" i="3"/>
  <c r="G87" i="3"/>
  <c r="D88" i="3"/>
  <c r="J88" i="3" s="1"/>
  <c r="L88" i="3" s="1"/>
  <c r="D91" i="3"/>
  <c r="G91" i="3" s="1"/>
  <c r="J85" i="3"/>
  <c r="D83" i="3"/>
  <c r="G83" i="3" s="1"/>
  <c r="J82" i="3"/>
  <c r="L82" i="3" s="1"/>
  <c r="D39" i="3"/>
  <c r="G39" i="3" s="1"/>
  <c r="J41" i="3"/>
  <c r="D61" i="3"/>
  <c r="G57" i="2"/>
  <c r="J50" i="3"/>
  <c r="D51" i="3"/>
  <c r="I57" i="2"/>
  <c r="K57" i="2" s="1"/>
  <c r="K58" i="2" s="1"/>
  <c r="K59" i="2" s="1"/>
  <c r="G51" i="3" l="1"/>
  <c r="Z9" i="2"/>
  <c r="AB9" i="2" s="1"/>
  <c r="G55" i="3"/>
  <c r="D7" i="2"/>
  <c r="D10" i="2" s="1"/>
  <c r="D13" i="2" s="1"/>
  <c r="D6" i="2"/>
  <c r="D34" i="2" s="1"/>
  <c r="D58" i="3"/>
  <c r="D56" i="3"/>
  <c r="AB10" i="2" s="1"/>
  <c r="G61" i="3"/>
  <c r="C3" i="4"/>
  <c r="F3" i="4" s="1"/>
  <c r="C34" i="2"/>
  <c r="J83" i="3"/>
  <c r="G90" i="3"/>
  <c r="J91" i="3"/>
  <c r="G94" i="3"/>
  <c r="D95" i="3"/>
  <c r="J95" i="3" s="1"/>
  <c r="D100" i="3"/>
  <c r="D99" i="3"/>
  <c r="G88" i="3"/>
  <c r="D89" i="3"/>
  <c r="G93" i="3"/>
  <c r="D101" i="3"/>
  <c r="J94" i="3"/>
  <c r="L94" i="3" s="1"/>
  <c r="D97" i="3"/>
  <c r="G97" i="3" s="1"/>
  <c r="D96" i="3"/>
  <c r="J40" i="3"/>
  <c r="D65" i="3"/>
  <c r="G65" i="3" s="1"/>
  <c r="D64" i="3"/>
  <c r="G64" i="3" s="1"/>
  <c r="J84" i="3"/>
  <c r="J39" i="3"/>
  <c r="J51" i="3"/>
  <c r="D52" i="3"/>
  <c r="D69" i="3"/>
  <c r="J68" i="3"/>
  <c r="D57" i="3" l="1"/>
  <c r="D21" i="2" s="1"/>
  <c r="D9" i="2"/>
  <c r="D42" i="2"/>
  <c r="AB40" i="2"/>
  <c r="D48" i="2"/>
  <c r="D45" i="2" s="1"/>
  <c r="D117" i="3"/>
  <c r="G69" i="3"/>
  <c r="L10" i="4"/>
  <c r="J52" i="3"/>
  <c r="G52" i="3"/>
  <c r="D31" i="3"/>
  <c r="G31" i="3" s="1"/>
  <c r="Z34" i="2"/>
  <c r="G95" i="3"/>
  <c r="J96" i="3"/>
  <c r="J101" i="3"/>
  <c r="L101" i="3" s="1"/>
  <c r="G100" i="3"/>
  <c r="D103" i="3"/>
  <c r="G103" i="3" s="1"/>
  <c r="D105" i="3"/>
  <c r="G99" i="3"/>
  <c r="J100" i="3"/>
  <c r="L100" i="3" s="1"/>
  <c r="G96" i="3"/>
  <c r="D106" i="3"/>
  <c r="J97" i="3"/>
  <c r="G101" i="3"/>
  <c r="D102" i="3"/>
  <c r="J102" i="3" s="1"/>
  <c r="L102" i="3" s="1"/>
  <c r="J89" i="3"/>
  <c r="J90" i="3"/>
  <c r="G89" i="3"/>
  <c r="J65" i="3"/>
  <c r="D54" i="2"/>
  <c r="D55" i="2" s="1"/>
  <c r="D52" i="2" s="1"/>
  <c r="D49" i="2" s="1"/>
  <c r="D46" i="2" s="1"/>
  <c r="G56" i="3"/>
  <c r="D59" i="3"/>
  <c r="G59" i="3" s="1"/>
  <c r="F13" i="1"/>
  <c r="J53" i="3"/>
  <c r="J69" i="3"/>
  <c r="J70" i="3"/>
  <c r="D118" i="3" l="1"/>
  <c r="J118" i="3" s="1"/>
  <c r="L118" i="3" s="1"/>
  <c r="D121" i="3"/>
  <c r="G121" i="3" s="1"/>
  <c r="G117" i="3"/>
  <c r="D120" i="3"/>
  <c r="G58" i="3"/>
  <c r="L9" i="4"/>
  <c r="O10" i="4"/>
  <c r="N10" i="4"/>
  <c r="P10" i="4" s="1"/>
  <c r="J62" i="3"/>
  <c r="G62" i="3"/>
  <c r="D6" i="3"/>
  <c r="D32" i="3"/>
  <c r="D33" i="3" s="1"/>
  <c r="D35" i="3"/>
  <c r="G35" i="3" s="1"/>
  <c r="J9" i="4"/>
  <c r="D109" i="3"/>
  <c r="G109" i="3" s="1"/>
  <c r="D111" i="3"/>
  <c r="D108" i="3"/>
  <c r="G105" i="3"/>
  <c r="J106" i="3"/>
  <c r="D112" i="3"/>
  <c r="G102" i="3"/>
  <c r="J103" i="3"/>
  <c r="L103" i="3" s="1"/>
  <c r="D107" i="3"/>
  <c r="G106" i="3"/>
  <c r="D63" i="3"/>
  <c r="D12" i="2"/>
  <c r="D15" i="2" s="1"/>
  <c r="D18" i="2" s="1"/>
  <c r="J56" i="3"/>
  <c r="J59" i="3"/>
  <c r="C6" i="4" l="1"/>
  <c r="C7" i="4" s="1"/>
  <c r="F7" i="4" s="1"/>
  <c r="D31" i="2"/>
  <c r="D28" i="2" s="1"/>
  <c r="G63" i="3"/>
  <c r="D43" i="2"/>
  <c r="G120" i="3"/>
  <c r="J121" i="3"/>
  <c r="D119" i="3"/>
  <c r="J119" i="3" s="1"/>
  <c r="G118" i="3"/>
  <c r="C9" i="4"/>
  <c r="F6" i="4"/>
  <c r="J32" i="3"/>
  <c r="G32" i="3"/>
  <c r="G57" i="3"/>
  <c r="D7" i="3"/>
  <c r="G6" i="3"/>
  <c r="J58" i="3"/>
  <c r="J57" i="3"/>
  <c r="AB34" i="2"/>
  <c r="Z33" i="2"/>
  <c r="AB33" i="2" s="1"/>
  <c r="G12" i="2"/>
  <c r="D113" i="3"/>
  <c r="G112" i="3"/>
  <c r="G107" i="3"/>
  <c r="J108" i="3"/>
  <c r="G108" i="3"/>
  <c r="J109" i="3"/>
  <c r="J107" i="3"/>
  <c r="D115" i="3"/>
  <c r="G115" i="3" s="1"/>
  <c r="G111" i="3"/>
  <c r="D114" i="3"/>
  <c r="J112" i="3"/>
  <c r="L112" i="3" s="1"/>
  <c r="J63" i="3"/>
  <c r="J64" i="3"/>
  <c r="J120" i="3" l="1"/>
  <c r="G119" i="3"/>
  <c r="G48" i="2"/>
  <c r="F9" i="4"/>
  <c r="C43" i="2"/>
  <c r="C46" i="2" s="1"/>
  <c r="J33" i="3"/>
  <c r="G33" i="3"/>
  <c r="G7" i="3"/>
  <c r="D8" i="3"/>
  <c r="D34" i="3"/>
  <c r="G42" i="2"/>
  <c r="J115" i="3"/>
  <c r="G114" i="3"/>
  <c r="J114" i="3"/>
  <c r="G113" i="3"/>
  <c r="J113" i="3"/>
  <c r="G34" i="3" l="1"/>
  <c r="D33" i="2"/>
  <c r="Z40" i="2" s="1"/>
  <c r="G45" i="2"/>
  <c r="J34" i="3"/>
  <c r="C49" i="2"/>
  <c r="G18" i="2"/>
  <c r="G8" i="3"/>
  <c r="D13" i="3"/>
  <c r="D9" i="3"/>
  <c r="J35" i="3"/>
  <c r="J74" i="3" l="1"/>
  <c r="D76" i="3"/>
  <c r="G76" i="3" s="1"/>
  <c r="D77" i="3"/>
  <c r="G77" i="3" s="1"/>
  <c r="C52" i="2"/>
  <c r="G9" i="3"/>
  <c r="D10" i="3"/>
  <c r="D12" i="3"/>
  <c r="D14" i="3"/>
  <c r="G13" i="3"/>
  <c r="D24" i="2"/>
  <c r="G21" i="2"/>
  <c r="G28" i="2"/>
  <c r="G31" i="2"/>
  <c r="G14" i="3" l="1"/>
  <c r="Z7" i="2"/>
  <c r="G24" i="2"/>
  <c r="D27" i="2"/>
  <c r="J77" i="3"/>
  <c r="D75" i="3"/>
  <c r="C55" i="2"/>
  <c r="G12" i="3"/>
  <c r="D15" i="3"/>
  <c r="AB7" i="2" s="1"/>
  <c r="D11" i="3"/>
  <c r="G11" i="3" s="1"/>
  <c r="G10" i="3"/>
  <c r="G34" i="2"/>
  <c r="D30" i="2" l="1"/>
  <c r="G27" i="2"/>
  <c r="I27" i="2"/>
  <c r="K27" i="2" s="1"/>
  <c r="K28" i="2" s="1"/>
  <c r="K29" i="2" s="1"/>
  <c r="J75" i="3"/>
  <c r="G75" i="3"/>
  <c r="J76" i="3"/>
  <c r="C58" i="2"/>
  <c r="D16" i="3"/>
  <c r="G15" i="3"/>
  <c r="E44" i="3"/>
  <c r="H44" i="3" s="1"/>
  <c r="E47" i="3"/>
  <c r="H47" i="3" s="1"/>
  <c r="D17" i="3" l="1"/>
  <c r="G17" i="3" s="1"/>
  <c r="G16" i="3"/>
  <c r="E71" i="3"/>
  <c r="H71" i="3" s="1"/>
  <c r="E45" i="3"/>
  <c r="E58" i="2"/>
  <c r="H58" i="2" s="1"/>
  <c r="K44" i="3"/>
  <c r="L44" i="3" s="1"/>
  <c r="F46" i="1" s="1"/>
  <c r="H45" i="3" l="1"/>
  <c r="D7" i="4"/>
  <c r="G7" i="4" s="1"/>
  <c r="E46" i="3"/>
  <c r="H46" i="3" s="1"/>
  <c r="K45" i="3"/>
  <c r="L45" i="3" s="1"/>
  <c r="E53" i="3"/>
  <c r="H53" i="3" s="1"/>
  <c r="E50" i="3"/>
  <c r="H50" i="3" s="1"/>
  <c r="K50" i="3" l="1"/>
  <c r="L50" i="3" s="1"/>
  <c r="K47" i="3"/>
  <c r="L47" i="3" s="1"/>
  <c r="K46" i="3"/>
  <c r="L46" i="3" s="1"/>
  <c r="E54" i="2"/>
  <c r="E69" i="3"/>
  <c r="M10" i="4" s="1"/>
  <c r="E51" i="2"/>
  <c r="E83" i="3" l="1"/>
  <c r="E89" i="3" s="1"/>
  <c r="H69" i="3"/>
  <c r="E37" i="3"/>
  <c r="E70" i="3"/>
  <c r="K69" i="3"/>
  <c r="L69" i="3" s="1"/>
  <c r="K68" i="3"/>
  <c r="L68" i="3" s="1"/>
  <c r="E50" i="1" s="1"/>
  <c r="H51" i="2"/>
  <c r="E62" i="3"/>
  <c r="E75" i="3" s="1"/>
  <c r="E65" i="3"/>
  <c r="H65" i="3" s="1"/>
  <c r="H54" i="2"/>
  <c r="H37" i="3" l="1"/>
  <c r="E6" i="3"/>
  <c r="E119" i="3"/>
  <c r="H75" i="3"/>
  <c r="K70" i="3"/>
  <c r="L70" i="3" s="1"/>
  <c r="H70" i="3"/>
  <c r="E84" i="3"/>
  <c r="K84" i="3" s="1"/>
  <c r="L84" i="3" s="1"/>
  <c r="K83" i="3"/>
  <c r="L83" i="3" s="1"/>
  <c r="E63" i="3"/>
  <c r="H62" i="3"/>
  <c r="H83" i="3"/>
  <c r="E32" i="3"/>
  <c r="H32" i="3" s="1"/>
  <c r="E95" i="3"/>
  <c r="E105" i="3"/>
  <c r="H89" i="3"/>
  <c r="E90" i="3"/>
  <c r="K90" i="3" s="1"/>
  <c r="L90" i="3" s="1"/>
  <c r="K89" i="3"/>
  <c r="L89" i="3" s="1"/>
  <c r="K71" i="3"/>
  <c r="L71" i="3" s="1"/>
  <c r="F50" i="1" s="1"/>
  <c r="E41" i="3"/>
  <c r="H41" i="3" s="1"/>
  <c r="E38" i="3"/>
  <c r="E46" i="2"/>
  <c r="K62" i="3"/>
  <c r="L62" i="3" s="1"/>
  <c r="E43" i="2" l="1"/>
  <c r="E42" i="2" s="1"/>
  <c r="E55" i="3"/>
  <c r="AA10" i="2" s="1"/>
  <c r="K85" i="3"/>
  <c r="L85" i="3" s="1"/>
  <c r="E49" i="2"/>
  <c r="E52" i="2" s="1"/>
  <c r="H119" i="3"/>
  <c r="E120" i="3"/>
  <c r="K120" i="3" s="1"/>
  <c r="L120" i="3" s="1"/>
  <c r="K119" i="3"/>
  <c r="L119" i="3" s="1"/>
  <c r="H84" i="3"/>
  <c r="H38" i="3"/>
  <c r="E31" i="3"/>
  <c r="H31" i="3" s="1"/>
  <c r="H63" i="3"/>
  <c r="AC34" i="2"/>
  <c r="E113" i="3"/>
  <c r="H105" i="3"/>
  <c r="E109" i="3"/>
  <c r="H109" i="3" s="1"/>
  <c r="E106" i="3"/>
  <c r="K106" i="3" s="1"/>
  <c r="L106" i="3" s="1"/>
  <c r="E96" i="3"/>
  <c r="K96" i="3" s="1"/>
  <c r="L96" i="3" s="1"/>
  <c r="H95" i="3"/>
  <c r="K95" i="3"/>
  <c r="L95" i="3" s="1"/>
  <c r="H90" i="3"/>
  <c r="K91" i="3"/>
  <c r="L91" i="3" s="1"/>
  <c r="F49" i="1"/>
  <c r="I49" i="1" s="1"/>
  <c r="K38" i="3"/>
  <c r="L38" i="3" s="1"/>
  <c r="I50" i="1"/>
  <c r="E51" i="3"/>
  <c r="E39" i="3"/>
  <c r="E48" i="2"/>
  <c r="E64" i="3"/>
  <c r="H46" i="2"/>
  <c r="K63" i="3"/>
  <c r="L63" i="3" s="1"/>
  <c r="E16" i="2" l="1"/>
  <c r="AA9" i="2"/>
  <c r="AC9" i="2" s="1"/>
  <c r="E58" i="3"/>
  <c r="E56" i="3"/>
  <c r="AC10" i="2" s="1"/>
  <c r="H55" i="3"/>
  <c r="E6" i="2"/>
  <c r="E7" i="2"/>
  <c r="H49" i="2"/>
  <c r="M50" i="2"/>
  <c r="M47" i="2" s="1"/>
  <c r="H48" i="2"/>
  <c r="K121" i="3"/>
  <c r="L121" i="3" s="1"/>
  <c r="H120" i="3"/>
  <c r="I46" i="1"/>
  <c r="F45" i="1"/>
  <c r="H51" i="3"/>
  <c r="AA34" i="2"/>
  <c r="AD34" i="2" s="1"/>
  <c r="H64" i="3"/>
  <c r="K39" i="3"/>
  <c r="L39" i="3" s="1"/>
  <c r="H39" i="3"/>
  <c r="E114" i="3"/>
  <c r="K113" i="3"/>
  <c r="L113" i="3" s="1"/>
  <c r="H113" i="3"/>
  <c r="K97" i="3"/>
  <c r="L97" i="3" s="1"/>
  <c r="H96" i="3"/>
  <c r="H106" i="3"/>
  <c r="E107" i="3"/>
  <c r="K107" i="3" s="1"/>
  <c r="L107" i="3" s="1"/>
  <c r="E34" i="3"/>
  <c r="E35" i="3"/>
  <c r="H35" i="3" s="1"/>
  <c r="E40" i="3"/>
  <c r="E52" i="3"/>
  <c r="H52" i="3" s="1"/>
  <c r="K51" i="3"/>
  <c r="L51" i="3" s="1"/>
  <c r="J48" i="2"/>
  <c r="L48" i="2" s="1"/>
  <c r="K64" i="3"/>
  <c r="L64" i="3" s="1"/>
  <c r="F39" i="1"/>
  <c r="J45" i="2"/>
  <c r="H45" i="2"/>
  <c r="H52" i="2"/>
  <c r="E55" i="2"/>
  <c r="J51" i="2"/>
  <c r="K65" i="3"/>
  <c r="L65" i="3" s="1"/>
  <c r="AD10" i="2" l="1"/>
  <c r="AE10" i="2"/>
  <c r="AD9" i="2"/>
  <c r="AE9" i="2"/>
  <c r="M53" i="2"/>
  <c r="M56" i="2" s="1"/>
  <c r="M59" i="2" s="1"/>
  <c r="H34" i="3"/>
  <c r="E33" i="2"/>
  <c r="E57" i="3"/>
  <c r="E21" i="2" s="1"/>
  <c r="E24" i="2" s="1"/>
  <c r="E27" i="2" s="1"/>
  <c r="E30" i="2" s="1"/>
  <c r="E9" i="2"/>
  <c r="E10" i="2" s="1"/>
  <c r="E13" i="2" s="1"/>
  <c r="F47" i="1"/>
  <c r="I47" i="1" s="1"/>
  <c r="H40" i="3"/>
  <c r="D6" i="4"/>
  <c r="H114" i="3"/>
  <c r="K115" i="3"/>
  <c r="L115" i="3" s="1"/>
  <c r="AE34" i="2"/>
  <c r="K114" i="3"/>
  <c r="L114" i="3" s="1"/>
  <c r="E108" i="3"/>
  <c r="K108" i="3" s="1"/>
  <c r="L108" i="3" s="1"/>
  <c r="H107" i="3"/>
  <c r="H43" i="2"/>
  <c r="K35" i="3"/>
  <c r="L35" i="3" s="1"/>
  <c r="K32" i="3"/>
  <c r="L32" i="3" s="1"/>
  <c r="I45" i="1" s="1"/>
  <c r="E33" i="3"/>
  <c r="K52" i="3"/>
  <c r="L52" i="3" s="1"/>
  <c r="K53" i="3"/>
  <c r="L53" i="3" s="1"/>
  <c r="E59" i="3"/>
  <c r="H59" i="3" s="1"/>
  <c r="M9" i="4"/>
  <c r="H56" i="3"/>
  <c r="K40" i="3"/>
  <c r="L40" i="3" s="1"/>
  <c r="K41" i="3"/>
  <c r="L41" i="3" s="1"/>
  <c r="L49" i="2"/>
  <c r="V48" i="2"/>
  <c r="L51" i="2"/>
  <c r="H55" i="2"/>
  <c r="E57" i="2"/>
  <c r="J54" i="2"/>
  <c r="L45" i="2"/>
  <c r="AF10" i="2" l="1"/>
  <c r="AG10" i="2" s="1"/>
  <c r="P59" i="2"/>
  <c r="E31" i="2"/>
  <c r="H30" i="2"/>
  <c r="AA40" i="2"/>
  <c r="E34" i="2"/>
  <c r="AC40" i="2" s="1"/>
  <c r="G6" i="4"/>
  <c r="F44" i="1"/>
  <c r="I44" i="1" s="1"/>
  <c r="K33" i="3"/>
  <c r="L33" i="3" s="1"/>
  <c r="H33" i="3"/>
  <c r="H58" i="3"/>
  <c r="K56" i="3"/>
  <c r="L56" i="3" s="1"/>
  <c r="I48" i="1" s="1"/>
  <c r="H108" i="3"/>
  <c r="K109" i="3"/>
  <c r="L109" i="3" s="1"/>
  <c r="J42" i="2"/>
  <c r="H42" i="2"/>
  <c r="K34" i="3"/>
  <c r="L34" i="3" s="1"/>
  <c r="K9" i="4"/>
  <c r="O9" i="4" s="1"/>
  <c r="E12" i="2"/>
  <c r="E15" i="2" s="1"/>
  <c r="E18" i="2" s="1"/>
  <c r="K59" i="3"/>
  <c r="L59" i="3" s="1"/>
  <c r="L46" i="2"/>
  <c r="V45" i="2"/>
  <c r="L50" i="2"/>
  <c r="V50" i="2" s="1"/>
  <c r="V49" i="2"/>
  <c r="L52" i="2"/>
  <c r="V51" i="2"/>
  <c r="L54" i="2"/>
  <c r="J57" i="2"/>
  <c r="H57" i="2"/>
  <c r="D28" i="1" l="1"/>
  <c r="D86" i="1" s="1"/>
  <c r="J86" i="1" s="1"/>
  <c r="E69" i="2"/>
  <c r="L42" i="2"/>
  <c r="V42" i="2" s="1"/>
  <c r="AA39" i="2"/>
  <c r="AC39" i="2" s="1"/>
  <c r="AE40" i="2"/>
  <c r="AD40" i="2"/>
  <c r="N9" i="4"/>
  <c r="Q11" i="4" s="1"/>
  <c r="H57" i="3"/>
  <c r="F52" i="1"/>
  <c r="I52" i="1" s="1"/>
  <c r="K57" i="3"/>
  <c r="L57" i="3" s="1"/>
  <c r="AA33" i="2"/>
  <c r="AC33" i="2" s="1"/>
  <c r="Q59" i="2"/>
  <c r="R59" i="2" s="1"/>
  <c r="H12" i="2"/>
  <c r="K58" i="3"/>
  <c r="L58" i="3" s="1"/>
  <c r="L53" i="2"/>
  <c r="V53" i="2" s="1"/>
  <c r="V52" i="2"/>
  <c r="L55" i="2"/>
  <c r="V54" i="2"/>
  <c r="L47" i="2"/>
  <c r="V47" i="2" s="1"/>
  <c r="V46" i="2"/>
  <c r="L57" i="2"/>
  <c r="L43" i="2" l="1"/>
  <c r="L44" i="2" s="1"/>
  <c r="V44" i="2" s="1"/>
  <c r="Q10" i="4"/>
  <c r="D9" i="4" s="1"/>
  <c r="D10" i="4"/>
  <c r="G10" i="4" s="1"/>
  <c r="R11" i="4"/>
  <c r="AE33" i="2"/>
  <c r="AD33" i="2"/>
  <c r="E19" i="2"/>
  <c r="D19" i="2" s="1"/>
  <c r="H16" i="2"/>
  <c r="L58" i="2"/>
  <c r="V57" i="2"/>
  <c r="L56" i="2"/>
  <c r="V56" i="2" s="1"/>
  <c r="V55" i="2"/>
  <c r="V43" i="2" l="1"/>
  <c r="R10" i="4"/>
  <c r="G9" i="4"/>
  <c r="D25" i="4"/>
  <c r="AF34" i="2"/>
  <c r="H24" i="2"/>
  <c r="H19" i="2"/>
  <c r="E22" i="2"/>
  <c r="D22" i="2" s="1"/>
  <c r="L59" i="2"/>
  <c r="V59" i="2" s="1"/>
  <c r="V58" i="2"/>
  <c r="E25" i="2" l="1"/>
  <c r="D25" i="2"/>
  <c r="C28" i="4"/>
  <c r="F28" i="4" s="1"/>
  <c r="G25" i="4"/>
  <c r="AG34" i="2"/>
  <c r="H33" i="2" s="1"/>
  <c r="H7" i="2"/>
  <c r="G10" i="2"/>
  <c r="H10" i="2"/>
  <c r="H27" i="2"/>
  <c r="H22" i="2"/>
  <c r="J30" i="2"/>
  <c r="H31" i="2"/>
  <c r="L30" i="2" l="1"/>
  <c r="L31" i="2" s="1"/>
  <c r="AA6" i="2"/>
  <c r="E28" i="2"/>
  <c r="H25" i="2"/>
  <c r="J24" i="2"/>
  <c r="G25" i="2"/>
  <c r="I24" i="2"/>
  <c r="K24" i="2" s="1"/>
  <c r="K25" i="2" s="1"/>
  <c r="K26" i="2" s="1"/>
  <c r="P26" i="2"/>
  <c r="H34" i="2"/>
  <c r="J33" i="2"/>
  <c r="AC6" i="2" s="1"/>
  <c r="V30" i="2" l="1"/>
  <c r="L33" i="2"/>
  <c r="L34" i="2" s="1"/>
  <c r="L24" i="2"/>
  <c r="P27" i="2"/>
  <c r="Q26" i="2"/>
  <c r="R26" i="2" s="1"/>
  <c r="H28" i="2"/>
  <c r="P29" i="2"/>
  <c r="J27" i="2"/>
  <c r="L27" i="2" s="1"/>
  <c r="L28" i="2" s="1"/>
  <c r="V31" i="2"/>
  <c r="L32" i="2"/>
  <c r="V32" i="2" s="1"/>
  <c r="G33" i="2"/>
  <c r="I33" i="2"/>
  <c r="P35" i="2"/>
  <c r="N39" i="2" l="1"/>
  <c r="N40" i="2" s="1"/>
  <c r="AB6" i="2"/>
  <c r="H6" i="3"/>
  <c r="V33" i="2"/>
  <c r="P36" i="2"/>
  <c r="P42" i="2" s="1"/>
  <c r="E67" i="2"/>
  <c r="D26" i="1" s="1"/>
  <c r="D78" i="1" s="1"/>
  <c r="V27" i="2"/>
  <c r="Q29" i="2"/>
  <c r="R29" i="2" s="1"/>
  <c r="P30" i="2"/>
  <c r="P28" i="2"/>
  <c r="Q28" i="2" s="1"/>
  <c r="R28" i="2" s="1"/>
  <c r="Q27" i="2"/>
  <c r="R27" i="2" s="1"/>
  <c r="V24" i="2"/>
  <c r="L25" i="2"/>
  <c r="E14" i="3"/>
  <c r="AA7" i="2" s="1"/>
  <c r="E7" i="3"/>
  <c r="E13" i="3"/>
  <c r="H13" i="3" s="1"/>
  <c r="N29" i="2"/>
  <c r="N30" i="2" s="1"/>
  <c r="N31" i="2" s="1"/>
  <c r="Q35" i="2"/>
  <c r="R35" i="2" s="1"/>
  <c r="K33" i="2"/>
  <c r="K34" i="2" s="1"/>
  <c r="K35" i="2" s="1"/>
  <c r="V28" i="2"/>
  <c r="L29" i="2"/>
  <c r="V29" i="2" s="1"/>
  <c r="V34" i="2"/>
  <c r="L35" i="2"/>
  <c r="V35" i="2" s="1"/>
  <c r="I30" i="2"/>
  <c r="Z6" i="2" s="1"/>
  <c r="AE6" i="2" s="1"/>
  <c r="P32" i="2"/>
  <c r="G30" i="2"/>
  <c r="AD6" i="2" l="1"/>
  <c r="P39" i="2"/>
  <c r="P40" i="2" s="1"/>
  <c r="P41" i="2" s="1"/>
  <c r="P37" i="2"/>
  <c r="P38" i="2" s="1"/>
  <c r="E8" i="3"/>
  <c r="H7" i="3"/>
  <c r="E15" i="3"/>
  <c r="H14" i="3"/>
  <c r="P31" i="2"/>
  <c r="Q31" i="2" s="1"/>
  <c r="R31" i="2" s="1"/>
  <c r="Q30" i="2"/>
  <c r="R30" i="2" s="1"/>
  <c r="V25" i="2"/>
  <c r="L26" i="2"/>
  <c r="V26" i="2" s="1"/>
  <c r="E74" i="3"/>
  <c r="H74" i="3" s="1"/>
  <c r="E77" i="3"/>
  <c r="H77" i="3" s="1"/>
  <c r="K74" i="3"/>
  <c r="L74" i="3" s="1"/>
  <c r="E51" i="1" s="1"/>
  <c r="N32" i="2"/>
  <c r="N33" i="2" s="1"/>
  <c r="N34" i="2" s="1"/>
  <c r="K30" i="2"/>
  <c r="K31" i="2" s="1"/>
  <c r="K32" i="2" s="1"/>
  <c r="Q32" i="2"/>
  <c r="R32" i="2" s="1"/>
  <c r="P33" i="2"/>
  <c r="N35" i="2"/>
  <c r="H15" i="3" l="1"/>
  <c r="AC7" i="2"/>
  <c r="E9" i="3"/>
  <c r="H8" i="3"/>
  <c r="K75" i="3"/>
  <c r="L75" i="3" s="1"/>
  <c r="F51" i="1" s="1"/>
  <c r="I51" i="1" s="1"/>
  <c r="I54" i="1" s="1"/>
  <c r="D38" i="1" s="1"/>
  <c r="Q33" i="2"/>
  <c r="R33" i="2" s="1"/>
  <c r="P34" i="2"/>
  <c r="Q34" i="2" s="1"/>
  <c r="R34" i="2" s="1"/>
  <c r="AE7" i="2" l="1"/>
  <c r="AD7" i="2"/>
  <c r="E10" i="3"/>
  <c r="H9" i="3"/>
  <c r="F38" i="1"/>
  <c r="D58" i="1"/>
  <c r="F58" i="1" s="1"/>
  <c r="E76" i="3"/>
  <c r="AF7" i="2" l="1"/>
  <c r="E17" i="3"/>
  <c r="H17" i="3" s="1"/>
  <c r="E11" i="3"/>
  <c r="H10" i="3"/>
  <c r="K76" i="3"/>
  <c r="L76" i="3" s="1"/>
  <c r="H76" i="3"/>
  <c r="K77" i="3"/>
  <c r="L77" i="3" s="1"/>
  <c r="AG7" i="2" l="1"/>
  <c r="Z12" i="2" s="1"/>
  <c r="H11" i="3"/>
  <c r="E12" i="3"/>
  <c r="E16" i="3" l="1"/>
  <c r="P5" i="3" s="1"/>
  <c r="O8" i="3" s="1"/>
  <c r="H12" i="3"/>
  <c r="AB57" i="2"/>
  <c r="H16" i="3" l="1"/>
  <c r="K60" i="1"/>
  <c r="J62" i="1" s="1"/>
  <c r="P44" i="2"/>
  <c r="P50" i="2"/>
  <c r="P47" i="2" l="1"/>
  <c r="I42" i="2"/>
  <c r="Z39" i="2" s="1"/>
  <c r="G43" i="2"/>
  <c r="Q40" i="2"/>
  <c r="Q39" i="2"/>
  <c r="G49" i="2"/>
  <c r="I48" i="2"/>
  <c r="E68" i="2" l="1"/>
  <c r="T52" i="2"/>
  <c r="T47" i="2"/>
  <c r="T53" i="2"/>
  <c r="T54" i="2"/>
  <c r="T55" i="2"/>
  <c r="T48" i="2"/>
  <c r="T56" i="2"/>
  <c r="T49" i="2"/>
  <c r="T57" i="2"/>
  <c r="T50" i="2"/>
  <c r="T58" i="2"/>
  <c r="T51" i="2"/>
  <c r="T59" i="2"/>
  <c r="AB39" i="2"/>
  <c r="AD39" i="2" s="1"/>
  <c r="T46" i="2"/>
  <c r="T45" i="2"/>
  <c r="R39" i="2"/>
  <c r="R40" i="2"/>
  <c r="Q41" i="2"/>
  <c r="G52" i="2"/>
  <c r="D51" i="2"/>
  <c r="P53" i="2" s="1"/>
  <c r="K48" i="2"/>
  <c r="K49" i="2" s="1"/>
  <c r="K50" i="2" s="1"/>
  <c r="P45" i="2"/>
  <c r="Q44" i="2"/>
  <c r="P51" i="2"/>
  <c r="Q50" i="2"/>
  <c r="K42" i="2"/>
  <c r="K43" i="2" s="1"/>
  <c r="K44" i="2" s="1"/>
  <c r="I45" i="2"/>
  <c r="G46" i="2"/>
  <c r="AE39" i="2" l="1"/>
  <c r="AF40" i="2" s="1"/>
  <c r="AG40" i="2" s="1"/>
  <c r="G51" i="2"/>
  <c r="I51" i="2"/>
  <c r="P46" i="2"/>
  <c r="Q46" i="2" s="1"/>
  <c r="Q45" i="2"/>
  <c r="R41" i="2"/>
  <c r="P56" i="2"/>
  <c r="G55" i="2"/>
  <c r="K45" i="2"/>
  <c r="K46" i="2" s="1"/>
  <c r="K47" i="2" s="1"/>
  <c r="N47" i="2"/>
  <c r="N48" i="2" s="1"/>
  <c r="N49" i="2" s="1"/>
  <c r="R44" i="2"/>
  <c r="P43" i="2"/>
  <c r="Q43" i="2" s="1"/>
  <c r="Q42" i="2"/>
  <c r="R50" i="2"/>
  <c r="N50" i="2"/>
  <c r="N51" i="2" s="1"/>
  <c r="N52" i="2" s="1"/>
  <c r="Q47" i="2"/>
  <c r="P48" i="2"/>
  <c r="Q51" i="2"/>
  <c r="P52" i="2"/>
  <c r="Q52" i="2" s="1"/>
  <c r="D39" i="2" l="1"/>
  <c r="D40" i="2"/>
  <c r="G40" i="2" s="1"/>
  <c r="E40" i="2"/>
  <c r="H40" i="2" s="1"/>
  <c r="E39" i="2"/>
  <c r="J78" i="1"/>
  <c r="D81" i="1"/>
  <c r="J81" i="1" s="1"/>
  <c r="R52" i="2"/>
  <c r="G54" i="2"/>
  <c r="I54" i="2"/>
  <c r="R51" i="2"/>
  <c r="R42" i="2"/>
  <c r="Q48" i="2"/>
  <c r="P49" i="2"/>
  <c r="Q49" i="2" s="1"/>
  <c r="R43" i="2"/>
  <c r="R47" i="2"/>
  <c r="P54" i="2"/>
  <c r="Q53" i="2"/>
  <c r="R45" i="2"/>
  <c r="N53" i="2"/>
  <c r="N54" i="2" s="1"/>
  <c r="N55" i="2" s="1"/>
  <c r="K51" i="2"/>
  <c r="K52" i="2" s="1"/>
  <c r="K53" i="2" s="1"/>
  <c r="R46" i="2"/>
  <c r="I39" i="2" l="1"/>
  <c r="I36" i="2" s="1"/>
  <c r="G39" i="2"/>
  <c r="J39" i="2"/>
  <c r="H39" i="2"/>
  <c r="R49" i="2"/>
  <c r="N56" i="2"/>
  <c r="N57" i="2" s="1"/>
  <c r="N58" i="2" s="1"/>
  <c r="N59" i="2"/>
  <c r="K54" i="2"/>
  <c r="K55" i="2" s="1"/>
  <c r="K56" i="2" s="1"/>
  <c r="Q54" i="2"/>
  <c r="P55" i="2"/>
  <c r="Q55" i="2" s="1"/>
  <c r="Q56" i="2"/>
  <c r="P57" i="2"/>
  <c r="R48" i="2"/>
  <c r="R53" i="2"/>
  <c r="K39" i="2" l="1"/>
  <c r="K40" i="2" s="1"/>
  <c r="K41" i="2" s="1"/>
  <c r="L39" i="2"/>
  <c r="V39" i="2" s="1"/>
  <c r="J36" i="2"/>
  <c r="N41" i="2" s="1"/>
  <c r="N42" i="2" s="1"/>
  <c r="N43" i="2" s="1"/>
  <c r="N44" i="2"/>
  <c r="N45" i="2" s="1"/>
  <c r="N46" i="2" s="1"/>
  <c r="R55" i="2"/>
  <c r="R56" i="2"/>
  <c r="R54" i="2"/>
  <c r="Q57" i="2"/>
  <c r="P58" i="2"/>
  <c r="Q58" i="2" s="1"/>
  <c r="L40" i="2" l="1"/>
  <c r="V40" i="2" s="1"/>
  <c r="R58" i="2"/>
  <c r="R57" i="2"/>
  <c r="L41" i="2" l="1"/>
  <c r="V41" i="2" s="1"/>
  <c r="G7" i="2"/>
  <c r="G9" i="2"/>
  <c r="I9" i="2"/>
  <c r="K9" i="2" s="1"/>
  <c r="K10" i="2" s="1"/>
  <c r="K11" i="2" s="1"/>
  <c r="G6" i="2" l="1"/>
  <c r="I6" i="2"/>
  <c r="P8" i="2"/>
  <c r="H6" i="2"/>
  <c r="J6" i="2"/>
  <c r="L6" i="2" s="1"/>
  <c r="L7" i="2" s="1"/>
  <c r="L8" i="2" s="1"/>
  <c r="V8" i="2" s="1"/>
  <c r="D24" i="1" l="1"/>
  <c r="D73" i="1" s="1"/>
  <c r="J73" i="1" s="1"/>
  <c r="E65" i="2"/>
  <c r="P14" i="2"/>
  <c r="G13" i="2"/>
  <c r="I12" i="2"/>
  <c r="H13" i="2"/>
  <c r="J12" i="2"/>
  <c r="L12" i="2" s="1"/>
  <c r="H9" i="2"/>
  <c r="J9" i="2"/>
  <c r="L9" i="2" s="1"/>
  <c r="P11" i="2"/>
  <c r="Q8" i="2"/>
  <c r="R8" i="2" s="1"/>
  <c r="P9" i="2"/>
  <c r="K6" i="2"/>
  <c r="K7" i="2" s="1"/>
  <c r="K8" i="2" s="1"/>
  <c r="N11" i="2" l="1"/>
  <c r="O11" i="2" s="1"/>
  <c r="P10" i="2"/>
  <c r="Q10" i="2" s="1"/>
  <c r="R10" i="2" s="1"/>
  <c r="Q9" i="2"/>
  <c r="R9" i="2" s="1"/>
  <c r="V12" i="2"/>
  <c r="L13" i="2"/>
  <c r="H15" i="2"/>
  <c r="J15" i="2"/>
  <c r="L15" i="2" s="1"/>
  <c r="K12" i="2"/>
  <c r="K13" i="2" s="1"/>
  <c r="K14" i="2" s="1"/>
  <c r="N14" i="2"/>
  <c r="N15" i="2" s="1"/>
  <c r="N16" i="2" s="1"/>
  <c r="G15" i="2"/>
  <c r="Q11" i="2"/>
  <c r="R11" i="2" s="1"/>
  <c r="P12" i="2"/>
  <c r="V9" i="2"/>
  <c r="L10" i="2"/>
  <c r="P15" i="2"/>
  <c r="Q14" i="2"/>
  <c r="R14" i="2" s="1"/>
  <c r="N12" i="2" l="1"/>
  <c r="N13" i="2" s="1"/>
  <c r="O12" i="2"/>
  <c r="U51" i="2"/>
  <c r="S51" i="2"/>
  <c r="U54" i="2"/>
  <c r="S54" i="2"/>
  <c r="S59" i="2"/>
  <c r="U59" i="2"/>
  <c r="U52" i="2"/>
  <c r="S52" i="2"/>
  <c r="U45" i="2"/>
  <c r="S45" i="2"/>
  <c r="U55" i="2"/>
  <c r="S55" i="2"/>
  <c r="U58" i="2"/>
  <c r="S58" i="2"/>
  <c r="U47" i="2"/>
  <c r="S47" i="2"/>
  <c r="U56" i="2"/>
  <c r="S56" i="2"/>
  <c r="U53" i="2"/>
  <c r="S53" i="2"/>
  <c r="U50" i="2"/>
  <c r="S50" i="2"/>
  <c r="U48" i="2"/>
  <c r="S48" i="2"/>
  <c r="U46" i="2"/>
  <c r="S46" i="2"/>
  <c r="U57" i="2"/>
  <c r="S57" i="2"/>
  <c r="U49" i="2"/>
  <c r="S49" i="2"/>
  <c r="O14" i="2"/>
  <c r="L16" i="2"/>
  <c r="V15" i="2"/>
  <c r="V13" i="2"/>
  <c r="L14" i="2"/>
  <c r="V14" i="2" s="1"/>
  <c r="P16" i="2"/>
  <c r="Q16" i="2" s="1"/>
  <c r="R16" i="2" s="1"/>
  <c r="Q15" i="2"/>
  <c r="R15" i="2" s="1"/>
  <c r="L11" i="2"/>
  <c r="V11" i="2" s="1"/>
  <c r="V10" i="2"/>
  <c r="P13" i="2"/>
  <c r="Q13" i="2" s="1"/>
  <c r="R13" i="2" s="1"/>
  <c r="Q12" i="2"/>
  <c r="R12" i="2" s="1"/>
  <c r="H18" i="2"/>
  <c r="J18" i="2"/>
  <c r="O13" i="2" l="1"/>
  <c r="O15" i="2"/>
  <c r="L18" i="2"/>
  <c r="L17" i="2"/>
  <c r="V17" i="2" s="1"/>
  <c r="V16" i="2"/>
  <c r="O16" i="2" l="1"/>
  <c r="V18" i="2"/>
  <c r="L19" i="2"/>
  <c r="L20" i="2" l="1"/>
  <c r="V20" i="2" s="1"/>
  <c r="V19" i="2"/>
  <c r="G19" i="2" l="1"/>
  <c r="G22" i="2"/>
  <c r="P20" i="2"/>
  <c r="Q20" i="2" s="1"/>
  <c r="I18" i="2"/>
  <c r="K18" i="2" s="1"/>
  <c r="K19" i="2" s="1"/>
  <c r="K20" i="2" s="1"/>
  <c r="I21" i="2"/>
  <c r="D16" i="2"/>
  <c r="P17" i="2" s="1"/>
  <c r="G16" i="2" l="1"/>
  <c r="P21" i="2"/>
  <c r="P22" i="2" s="1"/>
  <c r="Q22" i="2" s="1"/>
  <c r="R22" i="2" s="1"/>
  <c r="P23" i="2"/>
  <c r="J21" i="2"/>
  <c r="L21" i="2" s="1"/>
  <c r="H21" i="2"/>
  <c r="Q17" i="2"/>
  <c r="P18" i="2"/>
  <c r="R20" i="2"/>
  <c r="I15" i="2"/>
  <c r="K21" i="2"/>
  <c r="K22" i="2" s="1"/>
  <c r="K23" i="2" s="1"/>
  <c r="N23" i="2" l="1"/>
  <c r="N24" i="2" s="1"/>
  <c r="N25" i="2" s="1"/>
  <c r="N26" i="2"/>
  <c r="N27" i="2" s="1"/>
  <c r="N28" i="2" s="1"/>
  <c r="Q21" i="2"/>
  <c r="R21" i="2" s="1"/>
  <c r="P19" i="2"/>
  <c r="Q19" i="2" s="1"/>
  <c r="Q18" i="2"/>
  <c r="K15" i="2"/>
  <c r="K16" i="2" s="1"/>
  <c r="K17" i="2" s="1"/>
  <c r="N17" i="2"/>
  <c r="N20" i="2"/>
  <c r="N21" i="2" s="1"/>
  <c r="N22" i="2" s="1"/>
  <c r="R17" i="2"/>
  <c r="V21" i="2"/>
  <c r="L22" i="2"/>
  <c r="Q23" i="2"/>
  <c r="P24" i="2"/>
  <c r="R23" i="2" l="1"/>
  <c r="Q24" i="2"/>
  <c r="P25" i="2"/>
  <c r="Q25" i="2" s="1"/>
  <c r="R18" i="2"/>
  <c r="O17" i="2"/>
  <c r="N18" i="2"/>
  <c r="N19" i="2" s="1"/>
  <c r="L23" i="2"/>
  <c r="V23" i="2" s="1"/>
  <c r="V22" i="2"/>
  <c r="R19" i="2"/>
  <c r="O20" i="2" l="1"/>
  <c r="O18" i="2"/>
  <c r="R24" i="2"/>
  <c r="R25" i="2"/>
  <c r="O19" i="2" l="1"/>
  <c r="O23" i="2"/>
  <c r="O21" i="2"/>
  <c r="O22" i="2" l="1"/>
  <c r="O26" i="2"/>
  <c r="O24" i="2"/>
  <c r="O25" i="2" l="1"/>
  <c r="O29" i="2"/>
  <c r="O27" i="2"/>
  <c r="O28" i="2" l="1"/>
  <c r="O32" i="2"/>
  <c r="O30" i="2"/>
  <c r="O31" i="2" l="1"/>
  <c r="O33" i="2"/>
  <c r="O35" i="2"/>
  <c r="F67" i="2" l="1"/>
  <c r="O63" i="2"/>
  <c r="O38" i="2"/>
  <c r="O36" i="2"/>
  <c r="O37" i="2" s="1"/>
  <c r="O34" i="2"/>
  <c r="F66" i="2" l="1"/>
  <c r="G66" i="2" s="1"/>
  <c r="D29" i="1"/>
  <c r="P63" i="2"/>
  <c r="E66" i="2" s="1"/>
  <c r="O39" i="2"/>
  <c r="O40" i="2" s="1"/>
  <c r="O41" i="2"/>
  <c r="O44" i="2" s="1"/>
  <c r="D75" i="1" l="1"/>
  <c r="J75" i="1" s="1"/>
  <c r="G67" i="2"/>
  <c r="D30" i="1" s="1"/>
  <c r="D79" i="1" s="1"/>
  <c r="O42" i="2"/>
  <c r="O45" i="2"/>
  <c r="O46" i="2" s="1"/>
  <c r="O47" i="2"/>
  <c r="F68" i="2" s="1"/>
  <c r="G68" i="2" s="1"/>
  <c r="D31" i="1" s="1"/>
  <c r="D83" i="1" s="1"/>
  <c r="D25" i="1"/>
  <c r="D74" i="1" s="1"/>
  <c r="O43" i="2" l="1"/>
  <c r="T43" i="2" s="1"/>
  <c r="T42" i="2"/>
  <c r="T44" i="2"/>
  <c r="S44" i="2" s="1"/>
  <c r="O50" i="2"/>
  <c r="O48" i="2"/>
  <c r="O49" i="2" s="1"/>
  <c r="T11" i="2"/>
  <c r="T15" i="2"/>
  <c r="T13" i="2"/>
  <c r="T12" i="2"/>
  <c r="T8" i="2"/>
  <c r="T14" i="2"/>
  <c r="T9" i="2"/>
  <c r="T10" i="2"/>
  <c r="T16" i="2"/>
  <c r="T17" i="2"/>
  <c r="T18" i="2"/>
  <c r="T20" i="2"/>
  <c r="T21" i="2"/>
  <c r="T23" i="2"/>
  <c r="T19" i="2"/>
  <c r="T24" i="2"/>
  <c r="T26" i="2"/>
  <c r="T22" i="2"/>
  <c r="T27" i="2"/>
  <c r="T29" i="2"/>
  <c r="T25" i="2"/>
  <c r="T30" i="2"/>
  <c r="T32" i="2"/>
  <c r="T28" i="2"/>
  <c r="T33" i="2"/>
  <c r="T35" i="2"/>
  <c r="T31" i="2"/>
  <c r="T34" i="2"/>
  <c r="T41" i="2"/>
  <c r="T39" i="2"/>
  <c r="D77" i="1"/>
  <c r="J77" i="1" s="1"/>
  <c r="J74" i="1"/>
  <c r="J79" i="1"/>
  <c r="T40" i="2"/>
  <c r="U44" i="2" l="1"/>
  <c r="S42" i="2"/>
  <c r="U42" i="2"/>
  <c r="U23" i="2"/>
  <c r="S23" i="2"/>
  <c r="G48" i="1" s="1"/>
  <c r="U40" i="2"/>
  <c r="S40" i="2"/>
  <c r="U25" i="2"/>
  <c r="S25" i="2"/>
  <c r="U21" i="2"/>
  <c r="S21" i="2"/>
  <c r="S8" i="2"/>
  <c r="U8" i="2"/>
  <c r="U30" i="2"/>
  <c r="S30" i="2"/>
  <c r="U14" i="2"/>
  <c r="S14" i="2"/>
  <c r="S43" i="2"/>
  <c r="U43" i="2"/>
  <c r="U39" i="2"/>
  <c r="S39" i="2"/>
  <c r="S29" i="2"/>
  <c r="U29" i="2"/>
  <c r="U20" i="2"/>
  <c r="S20" i="2"/>
  <c r="U12" i="2"/>
  <c r="S12" i="2"/>
  <c r="U13" i="2"/>
  <c r="S13" i="2"/>
  <c r="U31" i="2"/>
  <c r="S31" i="2"/>
  <c r="U27" i="2"/>
  <c r="S27" i="2"/>
  <c r="S41" i="2"/>
  <c r="U41" i="2"/>
  <c r="S15" i="2"/>
  <c r="U15" i="2"/>
  <c r="S34" i="2"/>
  <c r="U34" i="2"/>
  <c r="U18" i="2"/>
  <c r="S18" i="2"/>
  <c r="U35" i="2"/>
  <c r="S35" i="2"/>
  <c r="U22" i="2"/>
  <c r="S22" i="2"/>
  <c r="U17" i="2"/>
  <c r="S17" i="2"/>
  <c r="U33" i="2"/>
  <c r="S33" i="2"/>
  <c r="S16" i="2"/>
  <c r="U16" i="2"/>
  <c r="U28" i="2"/>
  <c r="S28" i="2"/>
  <c r="U26" i="2"/>
  <c r="S26" i="2"/>
  <c r="S11" i="2"/>
  <c r="U11" i="2"/>
  <c r="U24" i="2"/>
  <c r="S24" i="2"/>
  <c r="S10" i="2"/>
  <c r="U10" i="2"/>
  <c r="U32" i="2"/>
  <c r="S32" i="2"/>
  <c r="G41" i="1" s="1"/>
  <c r="U19" i="2"/>
  <c r="S19" i="2"/>
  <c r="U9" i="2"/>
  <c r="S9" i="2"/>
  <c r="O51" i="2"/>
  <c r="O52" i="2" s="1"/>
  <c r="O53" i="2"/>
  <c r="O56" i="2" l="1"/>
  <c r="O54" i="2"/>
  <c r="O55" i="2" s="1"/>
  <c r="O59" i="2" l="1"/>
  <c r="F69" i="2" s="1"/>
  <c r="G69" i="2" s="1"/>
  <c r="D32" i="1" s="1"/>
  <c r="D87" i="1" s="1"/>
  <c r="J87" i="1" s="1"/>
  <c r="O57" i="2"/>
  <c r="O58" i="2" s="1"/>
  <c r="F60" i="1" l="1"/>
  <c r="J83" i="1"/>
  <c r="D34" i="1"/>
</calcChain>
</file>

<file path=xl/sharedStrings.xml><?xml version="1.0" encoding="utf-8"?>
<sst xmlns="http://schemas.openxmlformats.org/spreadsheetml/2006/main" count="328" uniqueCount="138">
  <si>
    <t>=</t>
  </si>
  <si>
    <t>Driver Dimensions</t>
  </si>
  <si>
    <t>Frame Width</t>
  </si>
  <si>
    <t>cm</t>
  </si>
  <si>
    <t>in</t>
  </si>
  <si>
    <t>Mounting Width</t>
  </si>
  <si>
    <t>Mounting Depth</t>
  </si>
  <si>
    <t>Magnet Width</t>
  </si>
  <si>
    <t>Magnet Height</t>
  </si>
  <si>
    <t>Driver</t>
  </si>
  <si>
    <t>Offset</t>
  </si>
  <si>
    <t>x</t>
  </si>
  <si>
    <t>y</t>
  </si>
  <si>
    <t>Panel A</t>
  </si>
  <si>
    <t>Axes</t>
  </si>
  <si>
    <t>Axis 1</t>
  </si>
  <si>
    <t>Axis 2</t>
  </si>
  <si>
    <t>Panel B</t>
  </si>
  <si>
    <t>Panel D</t>
  </si>
  <si>
    <t>cm^2</t>
  </si>
  <si>
    <t>Panel E</t>
  </si>
  <si>
    <t>Panel F</t>
  </si>
  <si>
    <t>cu.ft.</t>
  </si>
  <si>
    <t>S1</t>
  </si>
  <si>
    <t>Path Calculations</t>
  </si>
  <si>
    <t>d</t>
  </si>
  <si>
    <t>dS</t>
  </si>
  <si>
    <t>L</t>
  </si>
  <si>
    <t>S</t>
  </si>
  <si>
    <t>S2</t>
  </si>
  <si>
    <t>Plot</t>
  </si>
  <si>
    <t>Panel G</t>
  </si>
  <si>
    <t>Advanced Centerline</t>
  </si>
  <si>
    <t>Sample points</t>
  </si>
  <si>
    <t>Box Dimensions</t>
  </si>
  <si>
    <t>Panel Thickness</t>
  </si>
  <si>
    <t>Baffle Width</t>
  </si>
  <si>
    <t>Box Parameters</t>
  </si>
  <si>
    <t>HornResp Params</t>
  </si>
  <si>
    <t>S3</t>
  </si>
  <si>
    <t>L12</t>
  </si>
  <si>
    <t>L23</t>
  </si>
  <si>
    <t>L (actual)</t>
  </si>
  <si>
    <t>Vol. (net)</t>
  </si>
  <si>
    <t>l.</t>
  </si>
  <si>
    <t>Vol. (gross)</t>
  </si>
  <si>
    <t>Panels</t>
  </si>
  <si>
    <t>p</t>
  </si>
  <si>
    <t>#</t>
  </si>
  <si>
    <t>v</t>
  </si>
  <si>
    <t>(back)</t>
  </si>
  <si>
    <t>Pnl Vol</t>
  </si>
  <si>
    <t>l</t>
  </si>
  <si>
    <t>dx</t>
  </si>
  <si>
    <t>dy</t>
  </si>
  <si>
    <t>Box Design</t>
  </si>
  <si>
    <t>in^2</t>
  </si>
  <si>
    <t>Equivalent Vented</t>
  </si>
  <si>
    <t>Net Volume</t>
  </si>
  <si>
    <t>Vent Area</t>
  </si>
  <si>
    <t>Vent Length</t>
  </si>
  <si>
    <t>Depth</t>
  </si>
  <si>
    <t>Expansion</t>
  </si>
  <si>
    <t>Cos</t>
  </si>
  <si>
    <t>Sin</t>
  </si>
  <si>
    <t>S4</t>
  </si>
  <si>
    <t>x1</t>
  </si>
  <si>
    <t>y1</t>
  </si>
  <si>
    <t>x2</t>
  </si>
  <si>
    <t>y2</t>
  </si>
  <si>
    <t>(</t>
  </si>
  <si>
    <t>Intersection points</t>
  </si>
  <si>
    <t>a</t>
  </si>
  <si>
    <t>b</t>
  </si>
  <si>
    <t>Height</t>
  </si>
  <si>
    <t>Profile View</t>
  </si>
  <si>
    <t>Width</t>
  </si>
  <si>
    <t>L34</t>
  </si>
  <si>
    <t>Equiv. Vent Dia.</t>
  </si>
  <si>
    <t>Goals</t>
  </si>
  <si>
    <t>Sample point</t>
  </si>
  <si>
    <t>Tan</t>
  </si>
  <si>
    <t>Panel C</t>
  </si>
  <si>
    <t>Sample Point</t>
  </si>
  <si>
    <t>Port Ratio</t>
  </si>
  <si>
    <t>Driver Offset</t>
  </si>
  <si>
    <t>S2 (Calc)</t>
  </si>
  <si>
    <t>Baffle Offset</t>
  </si>
  <si>
    <t>(baffle)</t>
  </si>
  <si>
    <t>(top)</t>
  </si>
  <si>
    <t>(bottom)</t>
  </si>
  <si>
    <t>(1st inside)</t>
  </si>
  <si>
    <t>(2nd inside)</t>
  </si>
  <si>
    <t>(sides)</t>
  </si>
  <si>
    <t>Filename</t>
  </si>
  <si>
    <t>I:\Users\Brian.Steele\OneDrive\Hornresp\Import\BOXPLAN.TXT</t>
  </si>
  <si>
    <t>ID</t>
  </si>
  <si>
    <t>29.00</t>
  </si>
  <si>
    <t>Ang</t>
  </si>
  <si>
    <t>2.0 x PI</t>
  </si>
  <si>
    <t>Eg</t>
  </si>
  <si>
    <t>Rg</t>
  </si>
  <si>
    <t>Fta</t>
  </si>
  <si>
    <t>Par</t>
  </si>
  <si>
    <t>F12</t>
  </si>
  <si>
    <t>F23</t>
  </si>
  <si>
    <t>F34</t>
  </si>
  <si>
    <t>S5</t>
  </si>
  <si>
    <t>F45</t>
  </si>
  <si>
    <t>Sd</t>
  </si>
  <si>
    <t>Bl</t>
  </si>
  <si>
    <t>Cms</t>
  </si>
  <si>
    <t>Rms</t>
  </si>
  <si>
    <t>Mmd</t>
  </si>
  <si>
    <t>Le</t>
  </si>
  <si>
    <t>Re</t>
  </si>
  <si>
    <t>Vrc</t>
  </si>
  <si>
    <t>Lrc</t>
  </si>
  <si>
    <t>Ap1</t>
  </si>
  <si>
    <t>Lp</t>
  </si>
  <si>
    <t>Vtc</t>
  </si>
  <si>
    <t>Atc</t>
  </si>
  <si>
    <t>Pmax</t>
  </si>
  <si>
    <t>Xmax</t>
  </si>
  <si>
    <t>Comment</t>
  </si>
  <si>
    <t>L45</t>
  </si>
  <si>
    <t>OD</t>
  </si>
  <si>
    <t>Guide lines</t>
  </si>
  <si>
    <t>Guides</t>
  </si>
  <si>
    <t>X</t>
  </si>
  <si>
    <t>Y</t>
  </si>
  <si>
    <t>Panel H</t>
  </si>
  <si>
    <t>(port separator)</t>
  </si>
  <si>
    <t>Sd/Vent</t>
  </si>
  <si>
    <t>A</t>
  </si>
  <si>
    <t>TQWT</t>
  </si>
  <si>
    <t>Path 9-10</t>
  </si>
  <si>
    <t>BOXPLAN-TQWT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</si>
</sst>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33CC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Calibri"/>
      <family val="2"/>
    </font>
    <font>
      <b/>
      <sz val="8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2" borderId="6" xfId="0" applyFont="1" applyFill="1" applyBorder="1"/>
    <xf numFmtId="164" fontId="1" fillId="0" borderId="9" xfId="0" applyNumberFormat="1" applyFont="1" applyBorder="1"/>
    <xf numFmtId="0" fontId="2" fillId="0" borderId="0" xfId="0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  <xf numFmtId="0" fontId="2" fillId="3" borderId="11" xfId="0" applyFont="1" applyFill="1" applyBorder="1"/>
    <xf numFmtId="1" fontId="2" fillId="3" borderId="11" xfId="0" applyNumberFormat="1" applyFont="1" applyFill="1" applyBorder="1"/>
    <xf numFmtId="1" fontId="2" fillId="3" borderId="12" xfId="0" applyNumberFormat="1" applyFont="1" applyFill="1" applyBorder="1"/>
    <xf numFmtId="1" fontId="2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64" fontId="2" fillId="3" borderId="13" xfId="0" applyNumberFormat="1" applyFont="1" applyFill="1" applyBorder="1"/>
    <xf numFmtId="164" fontId="2" fillId="3" borderId="0" xfId="0" applyNumberFormat="1" applyFont="1" applyFill="1" applyBorder="1"/>
    <xf numFmtId="0" fontId="2" fillId="3" borderId="0" xfId="0" applyFont="1" applyFill="1" applyBorder="1"/>
    <xf numFmtId="1" fontId="2" fillId="3" borderId="0" xfId="0" applyNumberFormat="1" applyFont="1" applyFill="1" applyBorder="1"/>
    <xf numFmtId="1" fontId="2" fillId="3" borderId="14" xfId="0" applyNumberFormat="1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64" fontId="2" fillId="3" borderId="16" xfId="0" applyNumberFormat="1" applyFont="1" applyFill="1" applyBorder="1"/>
    <xf numFmtId="1" fontId="2" fillId="3" borderId="16" xfId="0" applyNumberFormat="1" applyFont="1" applyFill="1" applyBorder="1"/>
    <xf numFmtId="0" fontId="1" fillId="0" borderId="0" xfId="0" applyFont="1" applyAlignment="1">
      <alignment horizontal="center"/>
    </xf>
    <xf numFmtId="1" fontId="2" fillId="3" borderId="17" xfId="0" applyNumberFormat="1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6" xfId="0" applyFont="1" applyFill="1" applyBorder="1" applyAlignment="1"/>
    <xf numFmtId="0" fontId="1" fillId="5" borderId="19" xfId="0" applyFont="1" applyFill="1" applyBorder="1" applyAlignme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2" fontId="4" fillId="0" borderId="0" xfId="0" applyNumberFormat="1" applyFont="1"/>
    <xf numFmtId="0" fontId="1" fillId="6" borderId="1" xfId="0" applyFont="1" applyFill="1" applyBorder="1"/>
    <xf numFmtId="164" fontId="1" fillId="6" borderId="3" xfId="0" applyNumberFormat="1" applyFont="1" applyFill="1" applyBorder="1"/>
    <xf numFmtId="0" fontId="1" fillId="7" borderId="18" xfId="0" applyFont="1" applyFill="1" applyBorder="1"/>
    <xf numFmtId="0" fontId="1" fillId="7" borderId="19" xfId="0" applyFont="1" applyFill="1" applyBorder="1"/>
    <xf numFmtId="0" fontId="2" fillId="7" borderId="19" xfId="0" applyFont="1" applyFill="1" applyBorder="1"/>
    <xf numFmtId="2" fontId="1" fillId="7" borderId="19" xfId="0" applyNumberFormat="1" applyFont="1" applyFill="1" applyBorder="1"/>
    <xf numFmtId="0" fontId="2" fillId="7" borderId="20" xfId="0" applyFont="1" applyFill="1" applyBorder="1"/>
    <xf numFmtId="0" fontId="1" fillId="7" borderId="2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23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23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22" xfId="0" applyFont="1" applyFill="1" applyBorder="1"/>
    <xf numFmtId="0" fontId="1" fillId="7" borderId="6" xfId="0" applyFont="1" applyFill="1" applyBorder="1"/>
    <xf numFmtId="0" fontId="2" fillId="7" borderId="7" xfId="0" applyFont="1" applyFill="1" applyBorder="1"/>
    <xf numFmtId="164" fontId="1" fillId="7" borderId="7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2" fillId="7" borderId="8" xfId="0" applyFont="1" applyFill="1" applyBorder="1"/>
    <xf numFmtId="164" fontId="2" fillId="7" borderId="0" xfId="0" applyNumberFormat="1" applyFont="1" applyFill="1" applyBorder="1" applyAlignment="1">
      <alignment horizontal="center"/>
    </xf>
    <xf numFmtId="0" fontId="5" fillId="7" borderId="0" xfId="0" applyFont="1" applyFill="1"/>
    <xf numFmtId="2" fontId="5" fillId="7" borderId="0" xfId="0" applyNumberFormat="1" applyFont="1" applyFill="1"/>
    <xf numFmtId="1" fontId="5" fillId="7" borderId="0" xfId="0" applyNumberFormat="1" applyFont="1" applyFill="1"/>
    <xf numFmtId="164" fontId="5" fillId="7" borderId="0" xfId="0" applyNumberFormat="1" applyFont="1" applyFill="1" applyAlignment="1">
      <alignment horizontal="center"/>
    </xf>
    <xf numFmtId="0" fontId="2" fillId="0" borderId="0" xfId="0" applyFont="1" applyBorder="1"/>
    <xf numFmtId="2" fontId="5" fillId="0" borderId="4" xfId="0" applyNumberFormat="1" applyFont="1" applyBorder="1"/>
    <xf numFmtId="0" fontId="1" fillId="8" borderId="1" xfId="0" applyFont="1" applyFill="1" applyBorder="1"/>
    <xf numFmtId="0" fontId="5" fillId="8" borderId="1" xfId="0" applyFont="1" applyFill="1" applyBorder="1"/>
    <xf numFmtId="0" fontId="4" fillId="8" borderId="10" xfId="0" applyFont="1" applyFill="1" applyBorder="1"/>
    <xf numFmtId="164" fontId="4" fillId="8" borderId="11" xfId="0" applyNumberFormat="1" applyFont="1" applyFill="1" applyBorder="1"/>
    <xf numFmtId="0" fontId="4" fillId="8" borderId="11" xfId="0" applyFont="1" applyFill="1" applyBorder="1"/>
    <xf numFmtId="164" fontId="2" fillId="8" borderId="11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4" fillId="8" borderId="13" xfId="0" applyFont="1" applyFill="1" applyBorder="1"/>
    <xf numFmtId="164" fontId="4" fillId="8" borderId="0" xfId="0" applyNumberFormat="1" applyFont="1" applyFill="1" applyBorder="1"/>
    <xf numFmtId="0" fontId="4" fillId="8" borderId="0" xfId="0" applyFont="1" applyFill="1" applyBorder="1"/>
    <xf numFmtId="164" fontId="2" fillId="8" borderId="0" xfId="0" applyNumberFormat="1" applyFont="1" applyFill="1" applyBorder="1" applyAlignment="1"/>
    <xf numFmtId="164" fontId="2" fillId="8" borderId="14" xfId="0" applyNumberFormat="1" applyFont="1" applyFill="1" applyBorder="1" applyAlignment="1"/>
    <xf numFmtId="0" fontId="4" fillId="8" borderId="15" xfId="0" applyFont="1" applyFill="1" applyBorder="1"/>
    <xf numFmtId="164" fontId="4" fillId="8" borderId="16" xfId="0" applyNumberFormat="1" applyFont="1" applyFill="1" applyBorder="1"/>
    <xf numFmtId="0" fontId="4" fillId="8" borderId="16" xfId="0" applyFont="1" applyFill="1" applyBorder="1"/>
    <xf numFmtId="164" fontId="2" fillId="8" borderId="16" xfId="0" applyNumberFormat="1" applyFont="1" applyFill="1" applyBorder="1" applyAlignment="1"/>
    <xf numFmtId="164" fontId="2" fillId="8" borderId="17" xfId="0" applyNumberFormat="1" applyFont="1" applyFill="1" applyBorder="1" applyAlignment="1"/>
    <xf numFmtId="0" fontId="1" fillId="5" borderId="0" xfId="0" applyFont="1" applyFill="1" applyBorder="1" applyAlignment="1"/>
    <xf numFmtId="0" fontId="1" fillId="10" borderId="24" xfId="0" applyFont="1" applyFill="1" applyBorder="1"/>
    <xf numFmtId="1" fontId="2" fillId="12" borderId="0" xfId="0" applyNumberFormat="1" applyFont="1" applyFill="1"/>
    <xf numFmtId="164" fontId="2" fillId="12" borderId="0" xfId="0" applyNumberFormat="1" applyFont="1" applyFill="1"/>
    <xf numFmtId="2" fontId="2" fillId="0" borderId="0" xfId="0" applyNumberFormat="1" applyFo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4" fillId="5" borderId="19" xfId="0" applyFont="1" applyFill="1" applyBorder="1" applyAlignment="1"/>
    <xf numFmtId="0" fontId="4" fillId="5" borderId="20" xfId="0" applyFont="1" applyFill="1" applyBorder="1" applyAlignment="1"/>
    <xf numFmtId="0" fontId="4" fillId="5" borderId="0" xfId="0" applyFont="1" applyFill="1" applyBorder="1" applyAlignment="1"/>
    <xf numFmtId="0" fontId="4" fillId="5" borderId="23" xfId="0" applyFont="1" applyFill="1" applyBorder="1" applyAlignment="1"/>
    <xf numFmtId="164" fontId="6" fillId="9" borderId="4" xfId="0" applyNumberFormat="1" applyFont="1" applyFill="1" applyBorder="1" applyProtection="1">
      <protection locked="0"/>
    </xf>
    <xf numFmtId="164" fontId="5" fillId="0" borderId="4" xfId="0" applyNumberFormat="1" applyFont="1" applyBorder="1"/>
    <xf numFmtId="164" fontId="1" fillId="8" borderId="3" xfId="0" applyNumberFormat="1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0" fontId="4" fillId="8" borderId="4" xfId="0" applyFont="1" applyFill="1" applyBorder="1"/>
    <xf numFmtId="0" fontId="2" fillId="8" borderId="4" xfId="0" applyFont="1" applyFill="1" applyBorder="1"/>
    <xf numFmtId="164" fontId="6" fillId="9" borderId="3" xfId="0" applyNumberFormat="1" applyFont="1" applyFill="1" applyBorder="1" applyProtection="1">
      <protection locked="0"/>
    </xf>
    <xf numFmtId="0" fontId="1" fillId="6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2" fontId="8" fillId="7" borderId="0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2" fontId="5" fillId="9" borderId="24" xfId="0" applyNumberFormat="1" applyFont="1" applyFill="1" applyBorder="1" applyProtection="1">
      <protection locked="0"/>
    </xf>
    <xf numFmtId="164" fontId="5" fillId="9" borderId="24" xfId="0" applyNumberFormat="1" applyFont="1" applyFill="1" applyBorder="1" applyAlignment="1" applyProtection="1">
      <alignment horizontal="center"/>
      <protection locked="0"/>
    </xf>
    <xf numFmtId="2" fontId="1" fillId="11" borderId="24" xfId="0" applyNumberFormat="1" applyFont="1" applyFill="1" applyBorder="1"/>
    <xf numFmtId="2" fontId="7" fillId="11" borderId="24" xfId="0" applyNumberFormat="1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7" borderId="25" xfId="0" applyFont="1" applyFill="1" applyBorder="1"/>
    <xf numFmtId="0" fontId="2" fillId="7" borderId="24" xfId="0" applyFont="1" applyFill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" fontId="1" fillId="6" borderId="3" xfId="0" applyNumberFormat="1" applyFont="1" applyFill="1" applyBorder="1"/>
    <xf numFmtId="1" fontId="6" fillId="0" borderId="3" xfId="0" applyNumberFormat="1" applyFont="1" applyBorder="1" applyProtection="1">
      <protection locked="0"/>
    </xf>
    <xf numFmtId="0" fontId="1" fillId="5" borderId="0" xfId="0" applyFont="1" applyFill="1" applyBorder="1" applyAlignment="1"/>
    <xf numFmtId="164" fontId="2" fillId="3" borderId="12" xfId="0" applyNumberFormat="1" applyFont="1" applyFill="1" applyBorder="1"/>
    <xf numFmtId="0" fontId="1" fillId="0" borderId="10" xfId="0" applyFont="1" applyBorder="1"/>
    <xf numFmtId="164" fontId="2" fillId="0" borderId="11" xfId="0" applyNumberFormat="1" applyFont="1" applyBorder="1"/>
    <xf numFmtId="2" fontId="2" fillId="0" borderId="11" xfId="0" applyNumberFormat="1" applyFont="1" applyBorder="1"/>
    <xf numFmtId="0" fontId="2" fillId="0" borderId="11" xfId="0" applyFont="1" applyBorder="1"/>
    <xf numFmtId="164" fontId="2" fillId="0" borderId="12" xfId="0" applyNumberFormat="1" applyFont="1" applyBorder="1"/>
    <xf numFmtId="164" fontId="2" fillId="3" borderId="14" xfId="0" applyNumberFormat="1" applyFont="1" applyFill="1" applyBorder="1"/>
    <xf numFmtId="0" fontId="1" fillId="0" borderId="13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164" fontId="2" fillId="0" borderId="14" xfId="0" applyNumberFormat="1" applyFont="1" applyBorder="1"/>
    <xf numFmtId="0" fontId="1" fillId="0" borderId="15" xfId="0" applyFont="1" applyBorder="1"/>
    <xf numFmtId="164" fontId="2" fillId="0" borderId="16" xfId="0" applyNumberFormat="1" applyFont="1" applyBorder="1"/>
    <xf numFmtId="2" fontId="2" fillId="0" borderId="16" xfId="0" applyNumberFormat="1" applyFont="1" applyBorder="1"/>
    <xf numFmtId="164" fontId="2" fillId="0" borderId="17" xfId="0" applyNumberFormat="1" applyFont="1" applyBorder="1"/>
    <xf numFmtId="0" fontId="2" fillId="3" borderId="16" xfId="0" applyFont="1" applyFill="1" applyBorder="1"/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/>
    <xf numFmtId="164" fontId="1" fillId="7" borderId="19" xfId="0" applyNumberFormat="1" applyFont="1" applyFill="1" applyBorder="1"/>
    <xf numFmtId="164" fontId="5" fillId="7" borderId="0" xfId="0" applyNumberFormat="1" applyFont="1" applyFill="1"/>
    <xf numFmtId="0" fontId="1" fillId="5" borderId="0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0" xfId="0" applyFont="1" applyFill="1" applyBorder="1" applyAlignment="1"/>
    <xf numFmtId="0" fontId="1" fillId="5" borderId="23" xfId="0" applyFont="1" applyFill="1" applyBorder="1" applyAlignment="1"/>
    <xf numFmtId="0" fontId="1" fillId="5" borderId="19" xfId="0" applyFont="1" applyFill="1" applyBorder="1" applyAlignment="1"/>
    <xf numFmtId="0" fontId="1" fillId="5" borderId="20" xfId="0" applyFont="1" applyFill="1" applyBorder="1" applyAlignment="1"/>
    <xf numFmtId="0" fontId="10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2" fontId="2" fillId="7" borderId="25" xfId="0" quotePrefix="1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10" fillId="0" borderId="25" xfId="0" quotePrefix="1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7" borderId="25" xfId="0" quotePrefix="1" applyFont="1" applyFill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164" fontId="2" fillId="7" borderId="25" xfId="0" quotePrefix="1" applyNumberFormat="1" applyFont="1" applyFill="1" applyBorder="1" applyAlignment="1"/>
    <xf numFmtId="1" fontId="2" fillId="7" borderId="25" xfId="0" quotePrefix="1" applyNumberFormat="1" applyFont="1" applyFill="1" applyBorder="1" applyAlignment="1"/>
    <xf numFmtId="0" fontId="10" fillId="0" borderId="25" xfId="0" quotePrefix="1" applyFont="1" applyBorder="1" applyAlignment="1" applyProtection="1">
      <protection locked="0"/>
    </xf>
    <xf numFmtId="11" fontId="10" fillId="0" borderId="25" xfId="0" quotePrefix="1" applyNumberFormat="1" applyFont="1" applyBorder="1" applyAlignment="1" applyProtection="1">
      <protection locked="0"/>
    </xf>
    <xf numFmtId="11" fontId="2" fillId="0" borderId="26" xfId="0" applyNumberFormat="1" applyFont="1" applyBorder="1" applyAlignment="1" applyProtection="1">
      <protection locked="0"/>
    </xf>
    <xf numFmtId="11" fontId="2" fillId="0" borderId="27" xfId="0" applyNumberFormat="1" applyFont="1" applyBorder="1" applyAlignment="1" applyProtection="1">
      <protection locked="0"/>
    </xf>
    <xf numFmtId="1" fontId="2" fillId="0" borderId="26" xfId="0" applyNumberFormat="1" applyFont="1" applyBorder="1" applyAlignment="1"/>
    <xf numFmtId="1" fontId="2" fillId="0" borderId="27" xfId="0" applyNumberFormat="1" applyFont="1" applyBorder="1" applyAlignment="1"/>
    <xf numFmtId="0" fontId="2" fillId="3" borderId="1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/>
    <xf numFmtId="1" fontId="2" fillId="13" borderId="0" xfId="0" applyNumberFormat="1" applyFont="1" applyFill="1"/>
    <xf numFmtId="164" fontId="2" fillId="1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33CC"/>
      <color rgb="FFDDDD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54809843400453E-2"/>
          <c:y val="5.0570726531523988E-2"/>
          <c:w val="0.86577181208053688"/>
          <c:h val="0.85996409335727109"/>
        </c:manualLayout>
      </c:layout>
      <c:scatterChart>
        <c:scatterStyle val="lineMarker"/>
        <c:varyColors val="0"/>
        <c:ser>
          <c:idx val="6"/>
          <c:order val="0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'Panel Calculations'!$G$6:$G$17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12.7</c:v>
                </c:pt>
                <c:pt idx="4">
                  <c:v>15.2</c:v>
                </c:pt>
                <c:pt idx="5">
                  <c:v>15.2</c:v>
                </c:pt>
                <c:pt idx="6">
                  <c:v>12.7</c:v>
                </c:pt>
                <c:pt idx="7">
                  <c:v>2</c:v>
                </c:pt>
                <c:pt idx="8">
                  <c:v>2</c:v>
                </c:pt>
                <c:pt idx="9">
                  <c:v>12.7</c:v>
                </c:pt>
                <c:pt idx="10">
                  <c:v>12.7</c:v>
                </c:pt>
                <c:pt idx="11">
                  <c:v>12.7</c:v>
                </c:pt>
              </c:numCache>
            </c:numRef>
          </c:xVal>
          <c:yVal>
            <c:numRef>
              <c:f>'Panel Calculations'!$H$6:$H$17</c:f>
              <c:numCache>
                <c:formatCode>0.0</c:formatCode>
                <c:ptCount val="12"/>
                <c:pt idx="0">
                  <c:v>48.36</c:v>
                </c:pt>
                <c:pt idx="1">
                  <c:v>79.36</c:v>
                </c:pt>
                <c:pt idx="2">
                  <c:v>77.86</c:v>
                </c:pt>
                <c:pt idx="3">
                  <c:v>73.36</c:v>
                </c:pt>
                <c:pt idx="4">
                  <c:v>73.36</c:v>
                </c:pt>
                <c:pt idx="5">
                  <c:v>54.36</c:v>
                </c:pt>
                <c:pt idx="6">
                  <c:v>54.36</c:v>
                </c:pt>
                <c:pt idx="7">
                  <c:v>49.86</c:v>
                </c:pt>
                <c:pt idx="8">
                  <c:v>63.86</c:v>
                </c:pt>
                <c:pt idx="9">
                  <c:v>63.86</c:v>
                </c:pt>
                <c:pt idx="10">
                  <c:v>54.36</c:v>
                </c:pt>
                <c:pt idx="11">
                  <c:v>73.36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F7-468E-A966-0A9B84503F5C}"/>
            </c:ext>
          </c:extLst>
        </c:ser>
        <c:ser>
          <c:idx val="1"/>
          <c:order val="1"/>
          <c:tx>
            <c:v>Samples</c:v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rgbClr val="C00000"/>
              </a:solidFill>
            </c:spPr>
          </c:marker>
          <c:xVal>
            <c:numRef>
              <c:f>'Path Calculations'!$G$6:$G$59</c:f>
              <c:numCache>
                <c:formatCode>0.0</c:formatCode>
                <c:ptCount val="54"/>
                <c:pt idx="0">
                  <c:v>33.56</c:v>
                </c:pt>
                <c:pt idx="1">
                  <c:v>33.56</c:v>
                </c:pt>
                <c:pt idx="3">
                  <c:v>22.687435928399573</c:v>
                </c:pt>
                <c:pt idx="4">
                  <c:v>33.56</c:v>
                </c:pt>
                <c:pt idx="6">
                  <c:v>22.687435928399573</c:v>
                </c:pt>
                <c:pt idx="7">
                  <c:v>33.56</c:v>
                </c:pt>
                <c:pt idx="9">
                  <c:v>22.687435928399573</c:v>
                </c:pt>
                <c:pt idx="10">
                  <c:v>27.742825907612328</c:v>
                </c:pt>
                <c:pt idx="12">
                  <c:v>22.687435928399573</c:v>
                </c:pt>
                <c:pt idx="13">
                  <c:v>21.925651815224654</c:v>
                </c:pt>
                <c:pt idx="15">
                  <c:v>20.740028923806697</c:v>
                </c:pt>
                <c:pt idx="16">
                  <c:v>19.952078578451694</c:v>
                </c:pt>
                <c:pt idx="18">
                  <c:v>20.740028923806697</c:v>
                </c:pt>
                <c:pt idx="19">
                  <c:v>11.976039289225847</c:v>
                </c:pt>
                <c:pt idx="21">
                  <c:v>20.740028923806697</c:v>
                </c:pt>
                <c:pt idx="22">
                  <c:v>4</c:v>
                </c:pt>
                <c:pt idx="24">
                  <c:v>20.740028923806697</c:v>
                </c:pt>
                <c:pt idx="25">
                  <c:v>4</c:v>
                </c:pt>
                <c:pt idx="27">
                  <c:v>4</c:v>
                </c:pt>
                <c:pt idx="28">
                  <c:v>33.56</c:v>
                </c:pt>
                <c:pt idx="33">
                  <c:v>28.16093792500547</c:v>
                </c:pt>
                <c:pt idx="34">
                  <c:v>28.16093792500547</c:v>
                </c:pt>
                <c:pt idx="36">
                  <c:v>33.56</c:v>
                </c:pt>
                <c:pt idx="37">
                  <c:v>23.411150202976998</c:v>
                </c:pt>
                <c:pt idx="39">
                  <c:v>33.56</c:v>
                </c:pt>
                <c:pt idx="40">
                  <c:v>23.411150202976998</c:v>
                </c:pt>
                <c:pt idx="42">
                  <c:v>33.56</c:v>
                </c:pt>
                <c:pt idx="43">
                  <c:v>23.411150202976998</c:v>
                </c:pt>
                <c:pt idx="45">
                  <c:v>28.4855751014885</c:v>
                </c:pt>
                <c:pt idx="46">
                  <c:v>23.411150202976998</c:v>
                </c:pt>
                <c:pt idx="48">
                  <c:v>23.411150202976998</c:v>
                </c:pt>
                <c:pt idx="49">
                  <c:v>23.411150202976998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'Path Calculations'!$H$6:$H$59</c:f>
              <c:numCache>
                <c:formatCode>0.0</c:formatCode>
                <c:ptCount val="54"/>
                <c:pt idx="0">
                  <c:v>24.625311707198858</c:v>
                </c:pt>
                <c:pt idx="1">
                  <c:v>24.625311707198858</c:v>
                </c:pt>
                <c:pt idx="3">
                  <c:v>71.094896966547083</c:v>
                </c:pt>
                <c:pt idx="4">
                  <c:v>71.719283114045083</c:v>
                </c:pt>
                <c:pt idx="6">
                  <c:v>71.094896966547083</c:v>
                </c:pt>
                <c:pt idx="7">
                  <c:v>78.039641557022549</c:v>
                </c:pt>
                <c:pt idx="9">
                  <c:v>71.094896966547083</c:v>
                </c:pt>
                <c:pt idx="10">
                  <c:v>84.36</c:v>
                </c:pt>
                <c:pt idx="12">
                  <c:v>71.094896966547083</c:v>
                </c:pt>
                <c:pt idx="13">
                  <c:v>84.36</c:v>
                </c:pt>
                <c:pt idx="15">
                  <c:v>70.639258997911242</c:v>
                </c:pt>
                <c:pt idx="16">
                  <c:v>84.36</c:v>
                </c:pt>
                <c:pt idx="18">
                  <c:v>70.639258997911242</c:v>
                </c:pt>
                <c:pt idx="19">
                  <c:v>84.36</c:v>
                </c:pt>
                <c:pt idx="21">
                  <c:v>70.639258997911242</c:v>
                </c:pt>
                <c:pt idx="22">
                  <c:v>77.018958973589747</c:v>
                </c:pt>
                <c:pt idx="24">
                  <c:v>70.639258997911242</c:v>
                </c:pt>
                <c:pt idx="25">
                  <c:v>69.677917947179495</c:v>
                </c:pt>
                <c:pt idx="27">
                  <c:v>14.148849797023002</c:v>
                </c:pt>
                <c:pt idx="28">
                  <c:v>15.846412064625614</c:v>
                </c:pt>
                <c:pt idx="33">
                  <c:v>15.53635644693431</c:v>
                </c:pt>
                <c:pt idx="34">
                  <c:v>15.53635644693431</c:v>
                </c:pt>
                <c:pt idx="36">
                  <c:v>14.148849797023002</c:v>
                </c:pt>
                <c:pt idx="37">
                  <c:v>14.148849797023002</c:v>
                </c:pt>
                <c:pt idx="39">
                  <c:v>12.148849797023002</c:v>
                </c:pt>
                <c:pt idx="40">
                  <c:v>12.148849797023002</c:v>
                </c:pt>
                <c:pt idx="42">
                  <c:v>7.0744248985115012</c:v>
                </c:pt>
                <c:pt idx="43">
                  <c:v>12.148849797023002</c:v>
                </c:pt>
                <c:pt idx="45">
                  <c:v>2</c:v>
                </c:pt>
                <c:pt idx="46">
                  <c:v>12.148849797023002</c:v>
                </c:pt>
                <c:pt idx="48">
                  <c:v>2</c:v>
                </c:pt>
                <c:pt idx="49">
                  <c:v>12.148849797023002</c:v>
                </c:pt>
                <c:pt idx="51">
                  <c:v>12.148849797023002</c:v>
                </c:pt>
                <c:pt idx="5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F7-468E-A966-0A9B84503F5C}"/>
            </c:ext>
          </c:extLst>
        </c:ser>
        <c:ser>
          <c:idx val="2"/>
          <c:order val="2"/>
          <c:tx>
            <c:v>Advanced Centerline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8F7-468E-A966-0A9B84503F5C}"/>
              </c:ext>
            </c:extLst>
          </c:dPt>
          <c:dLbls>
            <c:dLbl>
              <c:idx val="0"/>
              <c:layout>
                <c:manualLayout>
                  <c:x val="1.824817518248175E-2"/>
                  <c:y val="-1.8223419299982228E-2"/>
                </c:manualLayout>
              </c:layout>
              <c:tx>
                <c:rich>
                  <a:bodyPr/>
                  <a:lstStyle/>
                  <a:p>
                    <a:fld id="{4532BCE3-DA39-4E74-B8FF-6EF7E8E4E045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8F7-468E-A966-0A9B84503F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CC68C2-4FE2-4529-8C2E-45A0AEDAC89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8F7-468E-A966-0A9B84503F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1B8D9F-443B-4E23-B98F-73FFE66B53B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8F7-468E-A966-0A9B84503F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9BF05E-D14B-4FC6-A3F2-004ACAA56CF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8F7-468E-A966-0A9B84503F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E8DF80F-F072-4A9F-990A-53614F53180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8F7-468E-A966-0A9B84503F5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94398E9-AA52-4BEC-B722-7AC46CD197F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8F7-468E-A966-0A9B84503F5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E59AD52-F017-40EA-B34F-83B562141FEF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8F7-468E-A966-0A9B84503F5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731AA8A-A798-4AB0-B743-3582E165438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8F7-468E-A966-0A9B84503F5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3FF1BE4-DAF7-430F-8470-FC79E0C3B65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8F7-468E-A966-0A9B84503F5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E4343E0-F272-4D57-AAF5-DCB2EB36977C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8F7-468E-A966-0A9B84503F5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8B0853D-6F2D-4C48-8081-9FD1695AF6B2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8F7-468E-A966-0A9B84503F5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B82212F-B4CD-4D68-9CCD-56130A0E1B7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8F7-468E-A966-0A9B84503F5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701D06E-A6A1-419C-B9FA-BE5C806497C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8F7-468E-A966-0A9B84503F5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F4B1A69-5BF0-48B8-ACA7-67E43C742DA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8F7-468E-A966-0A9B84503F5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E4057FD-C573-41CF-BB41-D909A715252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8F7-468E-A966-0A9B84503F5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B5103CA-37EE-4757-93F9-10D427614A9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8F7-468E-A966-0A9B84503F5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09EA96F-2CD1-4C05-833C-63C1AFD15C8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8F7-468E-A966-0A9B84503F5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B290D60-A455-49D4-A2A1-D4614BEFDEF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8F7-468E-A966-0A9B84503F5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644EB0D-E16B-424A-A140-D55E7A82CCE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8F7-468E-A966-0A9B84503F5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0059369-EEBE-4C36-9780-C7843269A64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8F7-468E-A966-0A9B84503F5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3F65B56-F944-450F-AB1A-EBF2432AC82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8F7-468E-A966-0A9B84503F5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6C6AE60F-0653-48A3-8350-8FE3FDB4236F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8F7-468E-A966-0A9B84503F5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7DB255F-6DB5-4EA3-BDA3-DD313F2DDBA0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68F7-468E-A966-0A9B84503F5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1C29C64-B760-4F86-B647-4563D9757C0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68F7-468E-A966-0A9B84503F5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C8A1C85-01F0-43F5-97EA-D8C2F3783772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8F7-468E-A966-0A9B84503F5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1D1A270-6539-4641-8F33-2C7061E5FDD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8F7-468E-A966-0A9B84503F5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2DC1CB2-4946-4110-816D-79C0EF963E4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8F7-468E-A966-0A9B84503F5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891DF5DC-02E9-4510-8729-9DE06D1856E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8F7-468E-A966-0A9B84503F5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AEF6F650-C9A7-4963-9ACD-4B874B37CAF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8F7-468E-A966-0A9B84503F5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9D73E73-55B0-483D-A685-59347983A93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8F7-468E-A966-0A9B84503F5C}"/>
                </c:ext>
              </c:extLst>
            </c:dLbl>
            <c:dLbl>
              <c:idx val="30"/>
              <c:layout>
                <c:manualLayout>
                  <c:x val="-7.4329539779544401E-2"/>
                  <c:y val="-5.4576359265261963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8F7-468E-A966-0A9B84503F5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2E-68F7-468E-A966-0A9B84503F5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2F-68F7-468E-A966-0A9B84503F5C}"/>
                </c:ext>
              </c:extLst>
            </c:dLbl>
            <c:dLbl>
              <c:idx val="33"/>
              <c:layout>
                <c:manualLayout>
                  <c:x val="-8.2859159098508467E-2"/>
                  <c:y val="-3.9933921413607288E-3"/>
                </c:manualLayout>
              </c:layout>
              <c:tx>
                <c:rich>
                  <a:bodyPr/>
                  <a:lstStyle/>
                  <a:p>
                    <a:fld id="{461AD75B-1130-4E36-B7F4-C77062501975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8F7-468E-A966-0A9B84503F5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6A928C6-FC8B-4E14-818B-8D789952F7A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68F7-468E-A966-0A9B84503F5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2D7FF8FC-095F-4BDA-8D07-0E1808A6B4D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8F7-468E-A966-0A9B84503F5C}"/>
                </c:ext>
              </c:extLst>
            </c:dLbl>
            <c:dLbl>
              <c:idx val="36"/>
              <c:layout>
                <c:manualLayout>
                  <c:x val="3.8990555012740194E-2"/>
                  <c:y val="-3.6527437341557542E-2"/>
                </c:manualLayout>
              </c:layout>
              <c:tx>
                <c:rich>
                  <a:bodyPr/>
                  <a:lstStyle/>
                  <a:p>
                    <a:fld id="{A39171B4-F902-4367-83E8-EE9435C5F850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8F7-468E-A966-0A9B84503F5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E10E5A6-6DBC-47E7-8E11-B20FC738DE3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8F7-468E-A966-0A9B84503F5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848F4CEB-5E32-4D94-A12B-61C203F75F7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8F7-468E-A966-0A9B84503F5C}"/>
                </c:ext>
              </c:extLst>
            </c:dLbl>
            <c:dLbl>
              <c:idx val="39"/>
              <c:layout>
                <c:manualLayout>
                  <c:x val="3.4090848133034465E-2"/>
                  <c:y val="8.3991847172235623E-3"/>
                </c:manualLayout>
              </c:layout>
              <c:tx>
                <c:rich>
                  <a:bodyPr/>
                  <a:lstStyle/>
                  <a:p>
                    <a:fld id="{AB098B07-2382-423C-8FEB-EC5CD4712ABF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8F7-468E-A966-0A9B84503F5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C28072D-E55D-4923-9E8E-4892344C672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68F7-468E-A966-0A9B84503F5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0BEA05C-6F27-4BEF-ACFA-25C1766D5C2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8F7-468E-A966-0A9B84503F5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C7F787B7-3DD4-459B-923E-894210E6C70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8F7-468E-A966-0A9B84503F5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3A722944-0D69-40F3-AC16-486B9F760E1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68F7-468E-A966-0A9B84503F5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00F5E43-7D89-4F5C-BFB9-3C123A17C7D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8F7-468E-A966-0A9B84503F5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2624D145-1CD0-4E22-821C-51F8E5B8B41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68F7-468E-A966-0A9B84503F5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E1CBE20-83E6-449A-8082-6EF0D1F2F11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8F7-468E-A966-0A9B84503F5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1BD7776-9F89-4CEA-ADFA-EE67C1D100CC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68F7-468E-A966-0A9B84503F5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961FB572-0777-4104-AF04-0820DEDAE75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68F7-468E-A966-0A9B84503F5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F8739271-1059-4D87-9948-E082A3AC940E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68F7-468E-A966-0A9B84503F5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86828C9E-A41E-4FA2-8401-C01605836E3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68F7-468E-A966-0A9B84503F5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EE52F5CD-DCD4-49ED-B438-257EDD30F2D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68F7-468E-A966-0A9B84503F5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DD72D02-AA17-4813-8280-1E0F5AEC7CC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68F7-468E-A966-0A9B84503F5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41-68F7-468E-A966-0A9B84503F5C}"/>
                </c:ext>
              </c:extLst>
            </c:dLbl>
            <c:dLbl>
              <c:idx val="54"/>
              <c:layout>
                <c:manualLayout>
                  <c:x val="-6.0980204625961647E-2"/>
                  <c:y val="1.9362285107102625E-2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68F7-468E-A966-0A9B84503F5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68F7-468E-A966-0A9B84503F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xVal>
            <c:numRef>
              <c:f>'Path Calculations'!$K$6:$K$59</c:f>
              <c:numCache>
                <c:formatCode>0.0</c:formatCode>
                <c:ptCount val="54"/>
                <c:pt idx="0">
                  <c:v>33.56</c:v>
                </c:pt>
                <c:pt idx="1">
                  <c:v>33.56</c:v>
                </c:pt>
                <c:pt idx="2">
                  <c:v>33.56</c:v>
                </c:pt>
                <c:pt idx="3">
                  <c:v>28.123717964199788</c:v>
                </c:pt>
                <c:pt idx="4">
                  <c:v>28.123717964199788</c:v>
                </c:pt>
                <c:pt idx="5">
                  <c:v>28.123717964199788</c:v>
                </c:pt>
                <c:pt idx="6">
                  <c:v>28.123717964199788</c:v>
                </c:pt>
                <c:pt idx="7">
                  <c:v>28.123717964199788</c:v>
                </c:pt>
                <c:pt idx="8">
                  <c:v>28.123717964199788</c:v>
                </c:pt>
                <c:pt idx="9">
                  <c:v>25.215130918005951</c:v>
                </c:pt>
                <c:pt idx="10">
                  <c:v>25.215130918005951</c:v>
                </c:pt>
                <c:pt idx="11">
                  <c:v>25.215130918005951</c:v>
                </c:pt>
                <c:pt idx="12">
                  <c:v>22.306543871812114</c:v>
                </c:pt>
                <c:pt idx="13">
                  <c:v>22.306543871812114</c:v>
                </c:pt>
                <c:pt idx="14">
                  <c:v>22.306543871812114</c:v>
                </c:pt>
                <c:pt idx="15">
                  <c:v>20.346053751129197</c:v>
                </c:pt>
                <c:pt idx="16">
                  <c:v>20.346053751129197</c:v>
                </c:pt>
                <c:pt idx="17">
                  <c:v>20.346053751129197</c:v>
                </c:pt>
                <c:pt idx="18">
                  <c:v>16.358034106516271</c:v>
                </c:pt>
                <c:pt idx="19">
                  <c:v>16.358034106516271</c:v>
                </c:pt>
                <c:pt idx="20">
                  <c:v>16.358034106516271</c:v>
                </c:pt>
                <c:pt idx="21">
                  <c:v>12.370014461903349</c:v>
                </c:pt>
                <c:pt idx="22">
                  <c:v>12.370014461903349</c:v>
                </c:pt>
                <c:pt idx="23">
                  <c:v>12.370014461903349</c:v>
                </c:pt>
                <c:pt idx="24">
                  <c:v>12.370014461903349</c:v>
                </c:pt>
                <c:pt idx="25">
                  <c:v>12.370014461903349</c:v>
                </c:pt>
                <c:pt idx="26">
                  <c:v>12.370014461903349</c:v>
                </c:pt>
                <c:pt idx="27">
                  <c:v>18.78</c:v>
                </c:pt>
                <c:pt idx="28">
                  <c:v>18.78</c:v>
                </c:pt>
                <c:pt idx="29">
                  <c:v>18.78</c:v>
                </c:pt>
                <c:pt idx="33">
                  <c:v>28.16093792500547</c:v>
                </c:pt>
                <c:pt idx="34">
                  <c:v>28.16093792500547</c:v>
                </c:pt>
                <c:pt idx="35">
                  <c:v>28.16093792500547</c:v>
                </c:pt>
                <c:pt idx="36">
                  <c:v>28.4855751014885</c:v>
                </c:pt>
                <c:pt idx="37">
                  <c:v>28.4855751014885</c:v>
                </c:pt>
                <c:pt idx="38">
                  <c:v>28.4855751014885</c:v>
                </c:pt>
                <c:pt idx="39">
                  <c:v>28.4855751014885</c:v>
                </c:pt>
                <c:pt idx="40">
                  <c:v>28.4855751014885</c:v>
                </c:pt>
                <c:pt idx="41">
                  <c:v>28.4855751014885</c:v>
                </c:pt>
                <c:pt idx="42">
                  <c:v>28.4855751014885</c:v>
                </c:pt>
                <c:pt idx="43">
                  <c:v>28.4855751014885</c:v>
                </c:pt>
                <c:pt idx="44">
                  <c:v>28.4855751014885</c:v>
                </c:pt>
                <c:pt idx="45">
                  <c:v>25.948362652232749</c:v>
                </c:pt>
                <c:pt idx="46">
                  <c:v>25.948362652232749</c:v>
                </c:pt>
                <c:pt idx="47">
                  <c:v>25.948362652232749</c:v>
                </c:pt>
                <c:pt idx="48">
                  <c:v>23.411150202976998</c:v>
                </c:pt>
                <c:pt idx="49">
                  <c:v>23.411150202976998</c:v>
                </c:pt>
                <c:pt idx="50">
                  <c:v>23.411150202976998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'Path Calculations'!$L$6:$L$59</c:f>
              <c:numCache>
                <c:formatCode>0.0</c:formatCode>
                <c:ptCount val="54"/>
                <c:pt idx="0">
                  <c:v>24.625311707198858</c:v>
                </c:pt>
                <c:pt idx="1">
                  <c:v>24.625311707198858</c:v>
                </c:pt>
                <c:pt idx="2">
                  <c:v>24.625311707198858</c:v>
                </c:pt>
                <c:pt idx="3">
                  <c:v>71.407090040296083</c:v>
                </c:pt>
                <c:pt idx="4">
                  <c:v>71.407090040296083</c:v>
                </c:pt>
                <c:pt idx="5">
                  <c:v>71.407090040296083</c:v>
                </c:pt>
                <c:pt idx="6">
                  <c:v>74.567269261784816</c:v>
                </c:pt>
                <c:pt idx="7">
                  <c:v>74.567269261784816</c:v>
                </c:pt>
                <c:pt idx="8">
                  <c:v>74.567269261784816</c:v>
                </c:pt>
                <c:pt idx="9">
                  <c:v>77.727448483273548</c:v>
                </c:pt>
                <c:pt idx="10">
                  <c:v>77.727448483273548</c:v>
                </c:pt>
                <c:pt idx="11">
                  <c:v>77.727448483273548</c:v>
                </c:pt>
                <c:pt idx="12">
                  <c:v>77.727448483273548</c:v>
                </c:pt>
                <c:pt idx="13">
                  <c:v>77.727448483273548</c:v>
                </c:pt>
                <c:pt idx="14">
                  <c:v>77.727448483273548</c:v>
                </c:pt>
                <c:pt idx="15">
                  <c:v>77.499629498955613</c:v>
                </c:pt>
                <c:pt idx="16">
                  <c:v>77.499629498955613</c:v>
                </c:pt>
                <c:pt idx="17">
                  <c:v>77.499629498955613</c:v>
                </c:pt>
                <c:pt idx="18">
                  <c:v>77.499629498955613</c:v>
                </c:pt>
                <c:pt idx="19">
                  <c:v>77.499629498955613</c:v>
                </c:pt>
                <c:pt idx="20">
                  <c:v>77.499629498955613</c:v>
                </c:pt>
                <c:pt idx="21">
                  <c:v>73.829108985750494</c:v>
                </c:pt>
                <c:pt idx="22">
                  <c:v>73.829108985750494</c:v>
                </c:pt>
                <c:pt idx="23">
                  <c:v>73.829108985750494</c:v>
                </c:pt>
                <c:pt idx="24">
                  <c:v>70.158588472545375</c:v>
                </c:pt>
                <c:pt idx="25">
                  <c:v>70.158588472545375</c:v>
                </c:pt>
                <c:pt idx="26">
                  <c:v>70.158588472545375</c:v>
                </c:pt>
                <c:pt idx="27">
                  <c:v>14.997630930824307</c:v>
                </c:pt>
                <c:pt idx="28">
                  <c:v>14.997630930824307</c:v>
                </c:pt>
                <c:pt idx="29">
                  <c:v>14.997630930824307</c:v>
                </c:pt>
                <c:pt idx="33">
                  <c:v>15.53635644693431</c:v>
                </c:pt>
                <c:pt idx="34">
                  <c:v>15.53635644693431</c:v>
                </c:pt>
                <c:pt idx="35">
                  <c:v>15.53635644693431</c:v>
                </c:pt>
                <c:pt idx="36">
                  <c:v>14.148849797023002</c:v>
                </c:pt>
                <c:pt idx="37">
                  <c:v>14.148849797023002</c:v>
                </c:pt>
                <c:pt idx="38">
                  <c:v>14.148849797023002</c:v>
                </c:pt>
                <c:pt idx="39">
                  <c:v>12.148849797023002</c:v>
                </c:pt>
                <c:pt idx="40">
                  <c:v>12.148849797023002</c:v>
                </c:pt>
                <c:pt idx="41">
                  <c:v>12.148849797023002</c:v>
                </c:pt>
                <c:pt idx="42">
                  <c:v>9.6116373477672514</c:v>
                </c:pt>
                <c:pt idx="43">
                  <c:v>9.6116373477672514</c:v>
                </c:pt>
                <c:pt idx="44">
                  <c:v>9.6116373477672514</c:v>
                </c:pt>
                <c:pt idx="45">
                  <c:v>7.0744248985115012</c:v>
                </c:pt>
                <c:pt idx="46">
                  <c:v>7.0744248985115012</c:v>
                </c:pt>
                <c:pt idx="47">
                  <c:v>7.0744248985115012</c:v>
                </c:pt>
                <c:pt idx="48">
                  <c:v>7.0744248985115012</c:v>
                </c:pt>
                <c:pt idx="49">
                  <c:v>7.0744248985115012</c:v>
                </c:pt>
                <c:pt idx="50">
                  <c:v>7.0744248985115012</c:v>
                </c:pt>
                <c:pt idx="51">
                  <c:v>7.0744248985115012</c:v>
                </c:pt>
                <c:pt idx="52">
                  <c:v>7.0744248985115012</c:v>
                </c:pt>
                <c:pt idx="53">
                  <c:v>7.0744248985115012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'Path Calculations'!$B$7:$B$59</c15:f>
                <c15:dlblRangeCache>
                  <c:ptCount val="53"/>
                  <c:pt idx="0">
                    <c:v>S1</c:v>
                  </c:pt>
                  <c:pt idx="27">
                    <c:v>S3</c:v>
                  </c:pt>
                  <c:pt idx="39">
                    <c:v>S4</c:v>
                  </c:pt>
                  <c:pt idx="51">
                    <c:v>S5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68F7-468E-A966-0A9B84503F5C}"/>
            </c:ext>
          </c:extLst>
        </c:ser>
        <c:ser>
          <c:idx val="10"/>
          <c:order val="3"/>
          <c:tx>
            <c:v>Axes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'Panel Calculations'!$O$4:$O$8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86.36</c:v>
                </c:pt>
              </c:numCache>
            </c:numRef>
          </c:xVal>
          <c:yVal>
            <c:numRef>
              <c:f>'Panel Calculations'!$P$4:$P$8</c:f>
              <c:numCache>
                <c:formatCode>0.0</c:formatCode>
                <c:ptCount val="5"/>
                <c:pt idx="0">
                  <c:v>0</c:v>
                </c:pt>
                <c:pt idx="1">
                  <c:v>86.36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8F7-468E-A966-0A9B84503F5C}"/>
            </c:ext>
          </c:extLst>
        </c:ser>
        <c:ser>
          <c:idx val="11"/>
          <c:order val="4"/>
          <c:tx>
            <c:v>Profile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'Panel Calculations'!$G$81:$G$121</c:f>
              <c:numCache>
                <c:formatCode>0.0</c:formatCode>
                <c:ptCount val="41"/>
                <c:pt idx="0">
                  <c:v>45.56</c:v>
                </c:pt>
                <c:pt idx="1">
                  <c:v>81.12</c:v>
                </c:pt>
                <c:pt idx="2">
                  <c:v>81.12</c:v>
                </c:pt>
                <c:pt idx="3">
                  <c:v>45.56</c:v>
                </c:pt>
                <c:pt idx="4">
                  <c:v>45.56</c:v>
                </c:pt>
                <c:pt idx="6">
                  <c:v>45.56</c:v>
                </c:pt>
                <c:pt idx="7">
                  <c:v>47.56</c:v>
                </c:pt>
                <c:pt idx="8">
                  <c:v>47.56</c:v>
                </c:pt>
                <c:pt idx="9">
                  <c:v>45.56</c:v>
                </c:pt>
                <c:pt idx="10">
                  <c:v>45.56</c:v>
                </c:pt>
                <c:pt idx="12">
                  <c:v>79.12</c:v>
                </c:pt>
                <c:pt idx="13">
                  <c:v>81.12</c:v>
                </c:pt>
                <c:pt idx="14">
                  <c:v>81.12</c:v>
                </c:pt>
                <c:pt idx="15">
                  <c:v>79.12</c:v>
                </c:pt>
                <c:pt idx="16">
                  <c:v>79.12</c:v>
                </c:pt>
                <c:pt idx="18">
                  <c:v>47.56</c:v>
                </c:pt>
                <c:pt idx="19">
                  <c:v>47.56</c:v>
                </c:pt>
                <c:pt idx="20">
                  <c:v>79.12</c:v>
                </c:pt>
                <c:pt idx="21">
                  <c:v>79.12</c:v>
                </c:pt>
                <c:pt idx="22">
                  <c:v>47.56</c:v>
                </c:pt>
                <c:pt idx="24">
                  <c:v>47.56</c:v>
                </c:pt>
                <c:pt idx="25">
                  <c:v>79.12</c:v>
                </c:pt>
                <c:pt idx="26">
                  <c:v>79.12</c:v>
                </c:pt>
                <c:pt idx="27">
                  <c:v>47.56</c:v>
                </c:pt>
                <c:pt idx="28">
                  <c:v>47.56</c:v>
                </c:pt>
                <c:pt idx="30">
                  <c:v>47.56</c:v>
                </c:pt>
                <c:pt idx="31">
                  <c:v>79.12</c:v>
                </c:pt>
                <c:pt idx="32">
                  <c:v>79.12</c:v>
                </c:pt>
                <c:pt idx="33">
                  <c:v>47.56</c:v>
                </c:pt>
                <c:pt idx="34">
                  <c:v>47.56</c:v>
                </c:pt>
                <c:pt idx="36">
                  <c:v>62.34</c:v>
                </c:pt>
                <c:pt idx="37">
                  <c:v>64.34</c:v>
                </c:pt>
                <c:pt idx="38">
                  <c:v>64.34</c:v>
                </c:pt>
                <c:pt idx="39">
                  <c:v>62.34</c:v>
                </c:pt>
                <c:pt idx="40">
                  <c:v>62.34</c:v>
                </c:pt>
              </c:numCache>
            </c:numRef>
          </c:xVal>
          <c:yVal>
            <c:numRef>
              <c:f>'Panel Calculations'!$H$81:$H$121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86.36</c:v>
                </c:pt>
                <c:pt idx="3">
                  <c:v>86.36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86.36</c:v>
                </c:pt>
                <c:pt idx="9">
                  <c:v>86.36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86.36</c:v>
                </c:pt>
                <c:pt idx="15">
                  <c:v>86.36</c:v>
                </c:pt>
                <c:pt idx="16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4">
                  <c:v>86.36</c:v>
                </c:pt>
                <c:pt idx="25">
                  <c:v>86.36</c:v>
                </c:pt>
                <c:pt idx="26">
                  <c:v>84.36</c:v>
                </c:pt>
                <c:pt idx="27">
                  <c:v>84.36</c:v>
                </c:pt>
                <c:pt idx="28">
                  <c:v>86.36</c:v>
                </c:pt>
                <c:pt idx="30">
                  <c:v>12.148849797023002</c:v>
                </c:pt>
                <c:pt idx="31">
                  <c:v>12.148849797023002</c:v>
                </c:pt>
                <c:pt idx="32">
                  <c:v>14.148849797023002</c:v>
                </c:pt>
                <c:pt idx="33">
                  <c:v>14.148849797023002</c:v>
                </c:pt>
                <c:pt idx="34">
                  <c:v>12.148849797023002</c:v>
                </c:pt>
                <c:pt idx="36">
                  <c:v>2</c:v>
                </c:pt>
                <c:pt idx="37">
                  <c:v>2</c:v>
                </c:pt>
                <c:pt idx="38">
                  <c:v>12.148849797023002</c:v>
                </c:pt>
                <c:pt idx="39">
                  <c:v>12.148849797023002</c:v>
                </c:pt>
                <c:pt idx="4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8F7-468E-A966-0A9B84503F5C}"/>
            </c:ext>
          </c:extLst>
        </c:ser>
        <c:ser>
          <c:idx val="12"/>
          <c:order val="5"/>
          <c:tx>
            <c:v>Panels</c:v>
          </c:tx>
          <c:spPr>
            <a:ln>
              <a:solidFill>
                <a:srgbClr val="0033CC"/>
              </a:solidFill>
            </a:ln>
          </c:spPr>
          <c:marker>
            <c:symbol val="none"/>
          </c:marker>
          <c:xVal>
            <c:numRef>
              <c:f>'Panel Calculations'!$G$25:$G$77</c:f>
              <c:numCache>
                <c:formatCode>0.0</c:formatCode>
                <c:ptCount val="53"/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2">
                  <c:v>0</c:v>
                </c:pt>
                <c:pt idx="13">
                  <c:v>35.56</c:v>
                </c:pt>
                <c:pt idx="14">
                  <c:v>35.56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35.56</c:v>
                </c:pt>
                <c:pt idx="20">
                  <c:v>35.56</c:v>
                </c:pt>
                <c:pt idx="21">
                  <c:v>0</c:v>
                </c:pt>
                <c:pt idx="22">
                  <c:v>0</c:v>
                </c:pt>
                <c:pt idx="24">
                  <c:v>35.56</c:v>
                </c:pt>
                <c:pt idx="25">
                  <c:v>33.56</c:v>
                </c:pt>
                <c:pt idx="26">
                  <c:v>33.56</c:v>
                </c:pt>
                <c:pt idx="27">
                  <c:v>35.56</c:v>
                </c:pt>
                <c:pt idx="28">
                  <c:v>35.56</c:v>
                </c:pt>
                <c:pt idx="30">
                  <c:v>33.56</c:v>
                </c:pt>
                <c:pt idx="31">
                  <c:v>22.687435928399573</c:v>
                </c:pt>
                <c:pt idx="32">
                  <c:v>20.740028923806697</c:v>
                </c:pt>
                <c:pt idx="33">
                  <c:v>31.612592995407127</c:v>
                </c:pt>
                <c:pt idx="34">
                  <c:v>33.56</c:v>
                </c:pt>
                <c:pt idx="36">
                  <c:v>0</c:v>
                </c:pt>
                <c:pt idx="37">
                  <c:v>23.411150202976998</c:v>
                </c:pt>
                <c:pt idx="38">
                  <c:v>23.411150202976998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35.56</c:v>
                </c:pt>
                <c:pt idx="44">
                  <c:v>35.56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33.56</c:v>
                </c:pt>
                <c:pt idx="50">
                  <c:v>33.56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'Panel Calculations'!$H$25:$H$77</c:f>
              <c:numCache>
                <c:formatCode>0.0</c:formatCode>
                <c:ptCount val="53"/>
                <c:pt idx="6">
                  <c:v>14.148849797023002</c:v>
                </c:pt>
                <c:pt idx="7">
                  <c:v>84.36</c:v>
                </c:pt>
                <c:pt idx="8">
                  <c:v>84.36</c:v>
                </c:pt>
                <c:pt idx="9">
                  <c:v>14.148849797023002</c:v>
                </c:pt>
                <c:pt idx="10">
                  <c:v>14.148849797023002</c:v>
                </c:pt>
                <c:pt idx="12">
                  <c:v>84.36</c:v>
                </c:pt>
                <c:pt idx="13">
                  <c:v>84.36</c:v>
                </c:pt>
                <c:pt idx="14">
                  <c:v>86.36</c:v>
                </c:pt>
                <c:pt idx="15">
                  <c:v>86.36</c:v>
                </c:pt>
                <c:pt idx="16">
                  <c:v>84.36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84.36</c:v>
                </c:pt>
                <c:pt idx="27">
                  <c:v>84.36</c:v>
                </c:pt>
                <c:pt idx="28">
                  <c:v>2</c:v>
                </c:pt>
                <c:pt idx="30">
                  <c:v>24.625311707198858</c:v>
                </c:pt>
                <c:pt idx="31">
                  <c:v>71.094896966547083</c:v>
                </c:pt>
                <c:pt idx="32">
                  <c:v>70.639258997911242</c:v>
                </c:pt>
                <c:pt idx="33">
                  <c:v>24.169673738563013</c:v>
                </c:pt>
                <c:pt idx="34">
                  <c:v>24.625311707198858</c:v>
                </c:pt>
                <c:pt idx="36">
                  <c:v>12.148849797023002</c:v>
                </c:pt>
                <c:pt idx="37">
                  <c:v>12.148849797023002</c:v>
                </c:pt>
                <c:pt idx="38">
                  <c:v>14.148849797023002</c:v>
                </c:pt>
                <c:pt idx="39">
                  <c:v>14.148849797023002</c:v>
                </c:pt>
                <c:pt idx="40">
                  <c:v>12.148849797023002</c:v>
                </c:pt>
                <c:pt idx="42">
                  <c:v>0</c:v>
                </c:pt>
                <c:pt idx="43">
                  <c:v>0</c:v>
                </c:pt>
                <c:pt idx="44">
                  <c:v>86.36</c:v>
                </c:pt>
                <c:pt idx="45">
                  <c:v>86.36</c:v>
                </c:pt>
                <c:pt idx="46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12.148849797023002</c:v>
                </c:pt>
                <c:pt idx="51">
                  <c:v>12.148849797023002</c:v>
                </c:pt>
                <c:pt idx="5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68F7-468E-A966-0A9B84503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58504"/>
        <c:axId val="145862816"/>
      </c:scatterChart>
      <c:valAx>
        <c:axId val="145858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1879194629"/>
              <c:y val="0.935367919435602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45862816"/>
        <c:crosses val="autoZero"/>
        <c:crossBetween val="midCat"/>
      </c:valAx>
      <c:valAx>
        <c:axId val="14586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091722595078E-2"/>
              <c:y val="0.45448576906610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4585850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Horn Expansion</a:t>
            </a:r>
          </a:p>
        </c:rich>
      </c:tx>
      <c:layout>
        <c:manualLayout>
          <c:xMode val="edge"/>
          <c:yMode val="edge"/>
          <c:x val="0.4261744966442953"/>
          <c:y val="3.361310605405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7181208053691"/>
          <c:y val="0.11484625253373526"/>
          <c:w val="0.83557046979865768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'Path Calculations'!$O$8:$O$59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47.096581047670639</c:v>
                </c:pt>
                <c:pt idx="4">
                  <c:v>47.096581047670639</c:v>
                </c:pt>
                <c:pt idx="5">
                  <c:v>47.096581047670639</c:v>
                </c:pt>
                <c:pt idx="6">
                  <c:v>50.256760269159372</c:v>
                </c:pt>
                <c:pt idx="7">
                  <c:v>50.256760269159372</c:v>
                </c:pt>
                <c:pt idx="8">
                  <c:v>50.256760269159372</c:v>
                </c:pt>
                <c:pt idx="9">
                  <c:v>54.55171211024161</c:v>
                </c:pt>
                <c:pt idx="10">
                  <c:v>54.55171211024161</c:v>
                </c:pt>
                <c:pt idx="11">
                  <c:v>54.55171211024161</c:v>
                </c:pt>
                <c:pt idx="12">
                  <c:v>57.460299156435447</c:v>
                </c:pt>
                <c:pt idx="13">
                  <c:v>57.460299156435447</c:v>
                </c:pt>
                <c:pt idx="14">
                  <c:v>57.460299156435447</c:v>
                </c:pt>
                <c:pt idx="15">
                  <c:v>59.433981755768727</c:v>
                </c:pt>
                <c:pt idx="16">
                  <c:v>59.433981755768727</c:v>
                </c:pt>
                <c:pt idx="17">
                  <c:v>59.433981755768727</c:v>
                </c:pt>
                <c:pt idx="18">
                  <c:v>63.422001400381653</c:v>
                </c:pt>
                <c:pt idx="19">
                  <c:v>63.422001400381653</c:v>
                </c:pt>
                <c:pt idx="20">
                  <c:v>63.422001400381653</c:v>
                </c:pt>
                <c:pt idx="21">
                  <c:v>68.842058736211058</c:v>
                </c:pt>
                <c:pt idx="22">
                  <c:v>68.842058736211058</c:v>
                </c:pt>
                <c:pt idx="23">
                  <c:v>68.842058736211058</c:v>
                </c:pt>
                <c:pt idx="24">
                  <c:v>72.512579249416177</c:v>
                </c:pt>
                <c:pt idx="25">
                  <c:v>72.512579249416177</c:v>
                </c:pt>
                <c:pt idx="26">
                  <c:v>72.512579249416177</c:v>
                </c:pt>
                <c:pt idx="27">
                  <c:v>128.04472445845852</c:v>
                </c:pt>
                <c:pt idx="28">
                  <c:v>128.04472445845852</c:v>
                </c:pt>
                <c:pt idx="29">
                  <c:v>128.04472445845852</c:v>
                </c:pt>
                <c:pt idx="30">
                  <c:v>128.04472445845852</c:v>
                </c:pt>
                <c:pt idx="31">
                  <c:v>128.04472445845852</c:v>
                </c:pt>
                <c:pt idx="32">
                  <c:v>128.04472445845852</c:v>
                </c:pt>
                <c:pt idx="33">
                  <c:v>128.04472445845852</c:v>
                </c:pt>
                <c:pt idx="34">
                  <c:v>128.04472445845852</c:v>
                </c:pt>
                <c:pt idx="35">
                  <c:v>128.04472445845852</c:v>
                </c:pt>
                <c:pt idx="36">
                  <c:v>129.46970305475494</c:v>
                </c:pt>
                <c:pt idx="37">
                  <c:v>129.46970305475494</c:v>
                </c:pt>
                <c:pt idx="38">
                  <c:v>129.46970305475494</c:v>
                </c:pt>
                <c:pt idx="39">
                  <c:v>131.46970305475494</c:v>
                </c:pt>
                <c:pt idx="40">
                  <c:v>131.46970305475494</c:v>
                </c:pt>
                <c:pt idx="41">
                  <c:v>131.46970305475494</c:v>
                </c:pt>
                <c:pt idx="42">
                  <c:v>134.00691550401069</c:v>
                </c:pt>
                <c:pt idx="43">
                  <c:v>134.00691550401069</c:v>
                </c:pt>
                <c:pt idx="44">
                  <c:v>134.00691550401069</c:v>
                </c:pt>
                <c:pt idx="45">
                  <c:v>137.59507576037004</c:v>
                </c:pt>
                <c:pt idx="46">
                  <c:v>137.59507576037004</c:v>
                </c:pt>
                <c:pt idx="47">
                  <c:v>137.59507576037004</c:v>
                </c:pt>
                <c:pt idx="48">
                  <c:v>140.13228820962578</c:v>
                </c:pt>
                <c:pt idx="49">
                  <c:v>140.13228820962578</c:v>
                </c:pt>
                <c:pt idx="50">
                  <c:v>140.13228820962578</c:v>
                </c:pt>
                <c:pt idx="51">
                  <c:v>163.54343841260277</c:v>
                </c:pt>
              </c:numCache>
            </c:numRef>
          </c:xVal>
          <c:yVal>
            <c:numRef>
              <c:f>'Path Calculations'!$Q$8:$Q$59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171.85174029253292</c:v>
                </c:pt>
                <c:pt idx="4">
                  <c:v>171.85174029253292</c:v>
                </c:pt>
                <c:pt idx="5">
                  <c:v>171.85174029253292</c:v>
                </c:pt>
                <c:pt idx="6">
                  <c:v>203.58164877131441</c:v>
                </c:pt>
                <c:pt idx="7">
                  <c:v>203.58164877131441</c:v>
                </c:pt>
                <c:pt idx="8">
                  <c:v>203.58164877131441</c:v>
                </c:pt>
                <c:pt idx="9">
                  <c:v>224.00927307493939</c:v>
                </c:pt>
                <c:pt idx="10">
                  <c:v>224.00927307493939</c:v>
                </c:pt>
                <c:pt idx="11">
                  <c:v>224.00927307493939</c:v>
                </c:pt>
                <c:pt idx="12">
                  <c:v>209.66820949008044</c:v>
                </c:pt>
                <c:pt idx="13">
                  <c:v>209.66820949008044</c:v>
                </c:pt>
                <c:pt idx="14">
                  <c:v>209.66820949008044</c:v>
                </c:pt>
                <c:pt idx="15">
                  <c:v>216.87002291125421</c:v>
                </c:pt>
                <c:pt idx="16">
                  <c:v>216.87002291125421</c:v>
                </c:pt>
                <c:pt idx="17">
                  <c:v>216.87002291125421</c:v>
                </c:pt>
                <c:pt idx="18">
                  <c:v>256.91189598553331</c:v>
                </c:pt>
                <c:pt idx="19">
                  <c:v>256.91189598553331</c:v>
                </c:pt>
                <c:pt idx="20">
                  <c:v>256.91189598553331</c:v>
                </c:pt>
                <c:pt idx="21">
                  <c:v>282.69073508344235</c:v>
                </c:pt>
                <c:pt idx="22">
                  <c:v>282.69073508344235</c:v>
                </c:pt>
                <c:pt idx="23">
                  <c:v>282.69073508344235</c:v>
                </c:pt>
                <c:pt idx="24">
                  <c:v>264.59288574052573</c:v>
                </c:pt>
                <c:pt idx="25">
                  <c:v>264.59288574052573</c:v>
                </c:pt>
                <c:pt idx="26">
                  <c:v>264.59288574052573</c:v>
                </c:pt>
                <c:pt idx="27">
                  <c:v>467.22533981807214</c:v>
                </c:pt>
                <c:pt idx="31">
                  <c:v>467.22533981807214</c:v>
                </c:pt>
                <c:pt idx="32">
                  <c:v>467.22533981807214</c:v>
                </c:pt>
                <c:pt idx="33">
                  <c:v>467.22533981807214</c:v>
                </c:pt>
                <c:pt idx="34">
                  <c:v>467.22533981807214</c:v>
                </c:pt>
                <c:pt idx="35">
                  <c:v>467.22533981807214</c:v>
                </c:pt>
                <c:pt idx="36">
                  <c:v>160.14884979702302</c:v>
                </c:pt>
                <c:pt idx="37">
                  <c:v>160.14884979702302</c:v>
                </c:pt>
                <c:pt idx="38">
                  <c:v>160.14884979702302</c:v>
                </c:pt>
                <c:pt idx="39">
                  <c:v>150.00000000000003</c:v>
                </c:pt>
                <c:pt idx="40">
                  <c:v>150.00000000000003</c:v>
                </c:pt>
                <c:pt idx="41">
                  <c:v>150.00000000000003</c:v>
                </c:pt>
                <c:pt idx="42">
                  <c:v>168.90300753525045</c:v>
                </c:pt>
                <c:pt idx="43">
                  <c:v>168.90300753525045</c:v>
                </c:pt>
                <c:pt idx="44">
                  <c:v>168.90300753525045</c:v>
                </c:pt>
                <c:pt idx="45">
                  <c:v>168.9030075352504</c:v>
                </c:pt>
                <c:pt idx="46">
                  <c:v>168.9030075352504</c:v>
                </c:pt>
                <c:pt idx="47">
                  <c:v>168.9030075352504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30-401E-A86D-2709D2BCA7BE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'Path Calculations'!$O$8:$O$59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47.096581047670639</c:v>
                </c:pt>
                <c:pt idx="4">
                  <c:v>47.096581047670639</c:v>
                </c:pt>
                <c:pt idx="5">
                  <c:v>47.096581047670639</c:v>
                </c:pt>
                <c:pt idx="6">
                  <c:v>50.256760269159372</c:v>
                </c:pt>
                <c:pt idx="7">
                  <c:v>50.256760269159372</c:v>
                </c:pt>
                <c:pt idx="8">
                  <c:v>50.256760269159372</c:v>
                </c:pt>
                <c:pt idx="9">
                  <c:v>54.55171211024161</c:v>
                </c:pt>
                <c:pt idx="10">
                  <c:v>54.55171211024161</c:v>
                </c:pt>
                <c:pt idx="11">
                  <c:v>54.55171211024161</c:v>
                </c:pt>
                <c:pt idx="12">
                  <c:v>57.460299156435447</c:v>
                </c:pt>
                <c:pt idx="13">
                  <c:v>57.460299156435447</c:v>
                </c:pt>
                <c:pt idx="14">
                  <c:v>57.460299156435447</c:v>
                </c:pt>
                <c:pt idx="15">
                  <c:v>59.433981755768727</c:v>
                </c:pt>
                <c:pt idx="16">
                  <c:v>59.433981755768727</c:v>
                </c:pt>
                <c:pt idx="17">
                  <c:v>59.433981755768727</c:v>
                </c:pt>
                <c:pt idx="18">
                  <c:v>63.422001400381653</c:v>
                </c:pt>
                <c:pt idx="19">
                  <c:v>63.422001400381653</c:v>
                </c:pt>
                <c:pt idx="20">
                  <c:v>63.422001400381653</c:v>
                </c:pt>
                <c:pt idx="21">
                  <c:v>68.842058736211058</c:v>
                </c:pt>
                <c:pt idx="22">
                  <c:v>68.842058736211058</c:v>
                </c:pt>
                <c:pt idx="23">
                  <c:v>68.842058736211058</c:v>
                </c:pt>
                <c:pt idx="24">
                  <c:v>72.512579249416177</c:v>
                </c:pt>
                <c:pt idx="25">
                  <c:v>72.512579249416177</c:v>
                </c:pt>
                <c:pt idx="26">
                  <c:v>72.512579249416177</c:v>
                </c:pt>
                <c:pt idx="27">
                  <c:v>128.04472445845852</c:v>
                </c:pt>
                <c:pt idx="28">
                  <c:v>128.04472445845852</c:v>
                </c:pt>
                <c:pt idx="29">
                  <c:v>128.04472445845852</c:v>
                </c:pt>
                <c:pt idx="30">
                  <c:v>128.04472445845852</c:v>
                </c:pt>
                <c:pt idx="31">
                  <c:v>128.04472445845852</c:v>
                </c:pt>
                <c:pt idx="32">
                  <c:v>128.04472445845852</c:v>
                </c:pt>
                <c:pt idx="33">
                  <c:v>128.04472445845852</c:v>
                </c:pt>
                <c:pt idx="34">
                  <c:v>128.04472445845852</c:v>
                </c:pt>
                <c:pt idx="35">
                  <c:v>128.04472445845852</c:v>
                </c:pt>
                <c:pt idx="36">
                  <c:v>129.46970305475494</c:v>
                </c:pt>
                <c:pt idx="37">
                  <c:v>129.46970305475494</c:v>
                </c:pt>
                <c:pt idx="38">
                  <c:v>129.46970305475494</c:v>
                </c:pt>
                <c:pt idx="39">
                  <c:v>131.46970305475494</c:v>
                </c:pt>
                <c:pt idx="40">
                  <c:v>131.46970305475494</c:v>
                </c:pt>
                <c:pt idx="41">
                  <c:v>131.46970305475494</c:v>
                </c:pt>
                <c:pt idx="42">
                  <c:v>134.00691550401069</c:v>
                </c:pt>
                <c:pt idx="43">
                  <c:v>134.00691550401069</c:v>
                </c:pt>
                <c:pt idx="44">
                  <c:v>134.00691550401069</c:v>
                </c:pt>
                <c:pt idx="45">
                  <c:v>137.59507576037004</c:v>
                </c:pt>
                <c:pt idx="46">
                  <c:v>137.59507576037004</c:v>
                </c:pt>
                <c:pt idx="47">
                  <c:v>137.59507576037004</c:v>
                </c:pt>
                <c:pt idx="48">
                  <c:v>140.13228820962578</c:v>
                </c:pt>
                <c:pt idx="49">
                  <c:v>140.13228820962578</c:v>
                </c:pt>
                <c:pt idx="50">
                  <c:v>140.13228820962578</c:v>
                </c:pt>
                <c:pt idx="51">
                  <c:v>163.54343841260277</c:v>
                </c:pt>
              </c:numCache>
            </c:numRef>
          </c:xVal>
          <c:yVal>
            <c:numRef>
              <c:f>'Path Calculations'!$R$8:$R$59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-171.85174029253292</c:v>
                </c:pt>
                <c:pt idx="4">
                  <c:v>-171.85174029253292</c:v>
                </c:pt>
                <c:pt idx="5">
                  <c:v>-171.85174029253292</c:v>
                </c:pt>
                <c:pt idx="6">
                  <c:v>-203.58164877131441</c:v>
                </c:pt>
                <c:pt idx="7">
                  <c:v>-203.58164877131441</c:v>
                </c:pt>
                <c:pt idx="8">
                  <c:v>-203.58164877131441</c:v>
                </c:pt>
                <c:pt idx="9">
                  <c:v>-224.00927307493939</c:v>
                </c:pt>
                <c:pt idx="10">
                  <c:v>-224.00927307493939</c:v>
                </c:pt>
                <c:pt idx="11">
                  <c:v>-224.00927307493939</c:v>
                </c:pt>
                <c:pt idx="12">
                  <c:v>-209.66820949008044</c:v>
                </c:pt>
                <c:pt idx="13">
                  <c:v>-209.66820949008044</c:v>
                </c:pt>
                <c:pt idx="14">
                  <c:v>-209.66820949008044</c:v>
                </c:pt>
                <c:pt idx="15">
                  <c:v>-216.87002291125421</c:v>
                </c:pt>
                <c:pt idx="16">
                  <c:v>-216.87002291125421</c:v>
                </c:pt>
                <c:pt idx="17">
                  <c:v>-216.87002291125421</c:v>
                </c:pt>
                <c:pt idx="18">
                  <c:v>-256.91189598553331</c:v>
                </c:pt>
                <c:pt idx="19">
                  <c:v>-256.91189598553331</c:v>
                </c:pt>
                <c:pt idx="20">
                  <c:v>-256.91189598553331</c:v>
                </c:pt>
                <c:pt idx="21">
                  <c:v>-282.69073508344235</c:v>
                </c:pt>
                <c:pt idx="22">
                  <c:v>-282.69073508344235</c:v>
                </c:pt>
                <c:pt idx="23">
                  <c:v>-282.69073508344235</c:v>
                </c:pt>
                <c:pt idx="24">
                  <c:v>-264.59288574052573</c:v>
                </c:pt>
                <c:pt idx="25">
                  <c:v>-264.59288574052573</c:v>
                </c:pt>
                <c:pt idx="26">
                  <c:v>-264.59288574052573</c:v>
                </c:pt>
                <c:pt idx="27">
                  <c:v>-467.22533981807214</c:v>
                </c:pt>
                <c:pt idx="31">
                  <c:v>-467.22533981807214</c:v>
                </c:pt>
                <c:pt idx="32">
                  <c:v>-467.22533981807214</c:v>
                </c:pt>
                <c:pt idx="33">
                  <c:v>-467.22533981807214</c:v>
                </c:pt>
                <c:pt idx="34">
                  <c:v>-467.22533981807214</c:v>
                </c:pt>
                <c:pt idx="35">
                  <c:v>-467.22533981807214</c:v>
                </c:pt>
                <c:pt idx="36">
                  <c:v>-160.14884979702302</c:v>
                </c:pt>
                <c:pt idx="37">
                  <c:v>-160.14884979702302</c:v>
                </c:pt>
                <c:pt idx="38">
                  <c:v>-160.14884979702302</c:v>
                </c:pt>
                <c:pt idx="39">
                  <c:v>-150.00000000000003</c:v>
                </c:pt>
                <c:pt idx="40">
                  <c:v>-150.00000000000003</c:v>
                </c:pt>
                <c:pt idx="41">
                  <c:v>-150.00000000000003</c:v>
                </c:pt>
                <c:pt idx="42">
                  <c:v>-168.90300753525045</c:v>
                </c:pt>
                <c:pt idx="43">
                  <c:v>-168.90300753525045</c:v>
                </c:pt>
                <c:pt idx="44">
                  <c:v>-168.90300753525045</c:v>
                </c:pt>
                <c:pt idx="45">
                  <c:v>-168.9030075352504</c:v>
                </c:pt>
                <c:pt idx="46">
                  <c:v>-168.9030075352504</c:v>
                </c:pt>
                <c:pt idx="47">
                  <c:v>-168.9030075352504</c:v>
                </c:pt>
                <c:pt idx="48">
                  <c:v>-150</c:v>
                </c:pt>
                <c:pt idx="49">
                  <c:v>-150</c:v>
                </c:pt>
                <c:pt idx="50">
                  <c:v>-150</c:v>
                </c:pt>
                <c:pt idx="51">
                  <c:v>-150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30-401E-A86D-2709D2BCA7BE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'Path Calculations'!$O$8:$O$59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47.096581047670639</c:v>
                </c:pt>
                <c:pt idx="4">
                  <c:v>47.096581047670639</c:v>
                </c:pt>
                <c:pt idx="5">
                  <c:v>47.096581047670639</c:v>
                </c:pt>
                <c:pt idx="6">
                  <c:v>50.256760269159372</c:v>
                </c:pt>
                <c:pt idx="7">
                  <c:v>50.256760269159372</c:v>
                </c:pt>
                <c:pt idx="8">
                  <c:v>50.256760269159372</c:v>
                </c:pt>
                <c:pt idx="9">
                  <c:v>54.55171211024161</c:v>
                </c:pt>
                <c:pt idx="10">
                  <c:v>54.55171211024161</c:v>
                </c:pt>
                <c:pt idx="11">
                  <c:v>54.55171211024161</c:v>
                </c:pt>
                <c:pt idx="12">
                  <c:v>57.460299156435447</c:v>
                </c:pt>
                <c:pt idx="13">
                  <c:v>57.460299156435447</c:v>
                </c:pt>
                <c:pt idx="14">
                  <c:v>57.460299156435447</c:v>
                </c:pt>
                <c:pt idx="15">
                  <c:v>59.433981755768727</c:v>
                </c:pt>
                <c:pt idx="16">
                  <c:v>59.433981755768727</c:v>
                </c:pt>
                <c:pt idx="17">
                  <c:v>59.433981755768727</c:v>
                </c:pt>
                <c:pt idx="18">
                  <c:v>63.422001400381653</c:v>
                </c:pt>
                <c:pt idx="19">
                  <c:v>63.422001400381653</c:v>
                </c:pt>
                <c:pt idx="20">
                  <c:v>63.422001400381653</c:v>
                </c:pt>
                <c:pt idx="21">
                  <c:v>68.842058736211058</c:v>
                </c:pt>
                <c:pt idx="22">
                  <c:v>68.842058736211058</c:v>
                </c:pt>
                <c:pt idx="23">
                  <c:v>68.842058736211058</c:v>
                </c:pt>
                <c:pt idx="24">
                  <c:v>72.512579249416177</c:v>
                </c:pt>
                <c:pt idx="25">
                  <c:v>72.512579249416177</c:v>
                </c:pt>
                <c:pt idx="26">
                  <c:v>72.512579249416177</c:v>
                </c:pt>
                <c:pt idx="27">
                  <c:v>128.04472445845852</c:v>
                </c:pt>
                <c:pt idx="28">
                  <c:v>128.04472445845852</c:v>
                </c:pt>
                <c:pt idx="29">
                  <c:v>128.04472445845852</c:v>
                </c:pt>
                <c:pt idx="30">
                  <c:v>128.04472445845852</c:v>
                </c:pt>
                <c:pt idx="31">
                  <c:v>128.04472445845852</c:v>
                </c:pt>
                <c:pt idx="32">
                  <c:v>128.04472445845852</c:v>
                </c:pt>
                <c:pt idx="33">
                  <c:v>128.04472445845852</c:v>
                </c:pt>
                <c:pt idx="34">
                  <c:v>128.04472445845852</c:v>
                </c:pt>
                <c:pt idx="35">
                  <c:v>128.04472445845852</c:v>
                </c:pt>
                <c:pt idx="36">
                  <c:v>129.46970305475494</c:v>
                </c:pt>
                <c:pt idx="37">
                  <c:v>129.46970305475494</c:v>
                </c:pt>
                <c:pt idx="38">
                  <c:v>129.46970305475494</c:v>
                </c:pt>
                <c:pt idx="39">
                  <c:v>131.46970305475494</c:v>
                </c:pt>
                <c:pt idx="40">
                  <c:v>131.46970305475494</c:v>
                </c:pt>
                <c:pt idx="41">
                  <c:v>131.46970305475494</c:v>
                </c:pt>
                <c:pt idx="42">
                  <c:v>134.00691550401069</c:v>
                </c:pt>
                <c:pt idx="43">
                  <c:v>134.00691550401069</c:v>
                </c:pt>
                <c:pt idx="44">
                  <c:v>134.00691550401069</c:v>
                </c:pt>
                <c:pt idx="45">
                  <c:v>137.59507576037004</c:v>
                </c:pt>
                <c:pt idx="46">
                  <c:v>137.59507576037004</c:v>
                </c:pt>
                <c:pt idx="47">
                  <c:v>137.59507576037004</c:v>
                </c:pt>
                <c:pt idx="48">
                  <c:v>140.13228820962578</c:v>
                </c:pt>
                <c:pt idx="49">
                  <c:v>140.13228820962578</c:v>
                </c:pt>
                <c:pt idx="50">
                  <c:v>140.13228820962578</c:v>
                </c:pt>
                <c:pt idx="51">
                  <c:v>163.54343841260277</c:v>
                </c:pt>
              </c:numCache>
            </c:numRef>
          </c:xVal>
          <c:yVal>
            <c:numRef>
              <c:f>'Path Calculations'!$T$8:$T$59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171.85179770062507</c:v>
                </c:pt>
                <c:pt idx="4">
                  <c:v>171.85179770062507</c:v>
                </c:pt>
                <c:pt idx="5">
                  <c:v>171.85179770062507</c:v>
                </c:pt>
                <c:pt idx="6">
                  <c:v>183.38304833895268</c:v>
                </c:pt>
                <c:pt idx="7">
                  <c:v>183.38304833895268</c:v>
                </c:pt>
                <c:pt idx="8">
                  <c:v>183.38304833895268</c:v>
                </c:pt>
                <c:pt idx="9">
                  <c:v>199.05499688614128</c:v>
                </c:pt>
                <c:pt idx="10">
                  <c:v>199.05499688614128</c:v>
                </c:pt>
                <c:pt idx="11">
                  <c:v>199.05499688614128</c:v>
                </c:pt>
                <c:pt idx="12">
                  <c:v>209.66820704997934</c:v>
                </c:pt>
                <c:pt idx="13">
                  <c:v>209.66820704997934</c:v>
                </c:pt>
                <c:pt idx="14">
                  <c:v>209.66820704997934</c:v>
                </c:pt>
                <c:pt idx="15">
                  <c:v>216.8700228769616</c:v>
                </c:pt>
                <c:pt idx="16">
                  <c:v>216.8700228769616</c:v>
                </c:pt>
                <c:pt idx="17">
                  <c:v>216.8700228769616</c:v>
                </c:pt>
                <c:pt idx="18">
                  <c:v>231.42199947370091</c:v>
                </c:pt>
                <c:pt idx="19">
                  <c:v>231.42199947370091</c:v>
                </c:pt>
                <c:pt idx="20">
                  <c:v>231.42199947370091</c:v>
                </c:pt>
                <c:pt idx="21">
                  <c:v>251.19937133557647</c:v>
                </c:pt>
                <c:pt idx="22">
                  <c:v>251.19937133557647</c:v>
                </c:pt>
                <c:pt idx="23">
                  <c:v>251.19937133557647</c:v>
                </c:pt>
                <c:pt idx="24">
                  <c:v>264.59281804995362</c:v>
                </c:pt>
                <c:pt idx="25">
                  <c:v>264.59281804995362</c:v>
                </c:pt>
                <c:pt idx="26">
                  <c:v>264.59281804995362</c:v>
                </c:pt>
                <c:pt idx="27">
                  <c:v>467.22533981807214</c:v>
                </c:pt>
                <c:pt idx="31">
                  <c:v>467.22533981807214</c:v>
                </c:pt>
                <c:pt idx="32">
                  <c:v>467.22533981807214</c:v>
                </c:pt>
                <c:pt idx="33">
                  <c:v>467.22533981807214</c:v>
                </c:pt>
                <c:pt idx="34">
                  <c:v>467.22533981807214</c:v>
                </c:pt>
                <c:pt idx="35">
                  <c:v>467.22533981807214</c:v>
                </c:pt>
                <c:pt idx="36">
                  <c:v>335.24223197254503</c:v>
                </c:pt>
                <c:pt idx="37">
                  <c:v>160.14884979702302</c:v>
                </c:pt>
                <c:pt idx="38">
                  <c:v>160.14884979702302</c:v>
                </c:pt>
                <c:pt idx="39">
                  <c:v>150.00000000000003</c:v>
                </c:pt>
                <c:pt idx="40">
                  <c:v>150.00000000000003</c:v>
                </c:pt>
                <c:pt idx="41">
                  <c:v>150.00000000000003</c:v>
                </c:pt>
                <c:pt idx="42">
                  <c:v>150.00000000000003</c:v>
                </c:pt>
                <c:pt idx="43">
                  <c:v>150.00000000000003</c:v>
                </c:pt>
                <c:pt idx="44">
                  <c:v>150.00000000000003</c:v>
                </c:pt>
                <c:pt idx="45">
                  <c:v>150.00000000000003</c:v>
                </c:pt>
                <c:pt idx="46">
                  <c:v>150.00000000000003</c:v>
                </c:pt>
                <c:pt idx="47">
                  <c:v>150.00000000000003</c:v>
                </c:pt>
                <c:pt idx="48">
                  <c:v>150.00000000000003</c:v>
                </c:pt>
                <c:pt idx="49">
                  <c:v>150.00000000000003</c:v>
                </c:pt>
                <c:pt idx="50">
                  <c:v>150.00000000000003</c:v>
                </c:pt>
                <c:pt idx="51">
                  <c:v>150.00000000000003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30-401E-A86D-2709D2BCA7BE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'Path Calculations'!$O$8:$O$59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47.096581047670639</c:v>
                </c:pt>
                <c:pt idx="4">
                  <c:v>47.096581047670639</c:v>
                </c:pt>
                <c:pt idx="5">
                  <c:v>47.096581047670639</c:v>
                </c:pt>
                <c:pt idx="6">
                  <c:v>50.256760269159372</c:v>
                </c:pt>
                <c:pt idx="7">
                  <c:v>50.256760269159372</c:v>
                </c:pt>
                <c:pt idx="8">
                  <c:v>50.256760269159372</c:v>
                </c:pt>
                <c:pt idx="9">
                  <c:v>54.55171211024161</c:v>
                </c:pt>
                <c:pt idx="10">
                  <c:v>54.55171211024161</c:v>
                </c:pt>
                <c:pt idx="11">
                  <c:v>54.55171211024161</c:v>
                </c:pt>
                <c:pt idx="12">
                  <c:v>57.460299156435447</c:v>
                </c:pt>
                <c:pt idx="13">
                  <c:v>57.460299156435447</c:v>
                </c:pt>
                <c:pt idx="14">
                  <c:v>57.460299156435447</c:v>
                </c:pt>
                <c:pt idx="15">
                  <c:v>59.433981755768727</c:v>
                </c:pt>
                <c:pt idx="16">
                  <c:v>59.433981755768727</c:v>
                </c:pt>
                <c:pt idx="17">
                  <c:v>59.433981755768727</c:v>
                </c:pt>
                <c:pt idx="18">
                  <c:v>63.422001400381653</c:v>
                </c:pt>
                <c:pt idx="19">
                  <c:v>63.422001400381653</c:v>
                </c:pt>
                <c:pt idx="20">
                  <c:v>63.422001400381653</c:v>
                </c:pt>
                <c:pt idx="21">
                  <c:v>68.842058736211058</c:v>
                </c:pt>
                <c:pt idx="22">
                  <c:v>68.842058736211058</c:v>
                </c:pt>
                <c:pt idx="23">
                  <c:v>68.842058736211058</c:v>
                </c:pt>
                <c:pt idx="24">
                  <c:v>72.512579249416177</c:v>
                </c:pt>
                <c:pt idx="25">
                  <c:v>72.512579249416177</c:v>
                </c:pt>
                <c:pt idx="26">
                  <c:v>72.512579249416177</c:v>
                </c:pt>
                <c:pt idx="27">
                  <c:v>128.04472445845852</c:v>
                </c:pt>
                <c:pt idx="28">
                  <c:v>128.04472445845852</c:v>
                </c:pt>
                <c:pt idx="29">
                  <c:v>128.04472445845852</c:v>
                </c:pt>
                <c:pt idx="30">
                  <c:v>128.04472445845852</c:v>
                </c:pt>
                <c:pt idx="31">
                  <c:v>128.04472445845852</c:v>
                </c:pt>
                <c:pt idx="32">
                  <c:v>128.04472445845852</c:v>
                </c:pt>
                <c:pt idx="33">
                  <c:v>128.04472445845852</c:v>
                </c:pt>
                <c:pt idx="34">
                  <c:v>128.04472445845852</c:v>
                </c:pt>
                <c:pt idx="35">
                  <c:v>128.04472445845852</c:v>
                </c:pt>
                <c:pt idx="36">
                  <c:v>129.46970305475494</c:v>
                </c:pt>
                <c:pt idx="37">
                  <c:v>129.46970305475494</c:v>
                </c:pt>
                <c:pt idx="38">
                  <c:v>129.46970305475494</c:v>
                </c:pt>
                <c:pt idx="39">
                  <c:v>131.46970305475494</c:v>
                </c:pt>
                <c:pt idx="40">
                  <c:v>131.46970305475494</c:v>
                </c:pt>
                <c:pt idx="41">
                  <c:v>131.46970305475494</c:v>
                </c:pt>
                <c:pt idx="42">
                  <c:v>134.00691550401069</c:v>
                </c:pt>
                <c:pt idx="43">
                  <c:v>134.00691550401069</c:v>
                </c:pt>
                <c:pt idx="44">
                  <c:v>134.00691550401069</c:v>
                </c:pt>
                <c:pt idx="45">
                  <c:v>137.59507576037004</c:v>
                </c:pt>
                <c:pt idx="46">
                  <c:v>137.59507576037004</c:v>
                </c:pt>
                <c:pt idx="47">
                  <c:v>137.59507576037004</c:v>
                </c:pt>
                <c:pt idx="48">
                  <c:v>140.13228820962578</c:v>
                </c:pt>
                <c:pt idx="49">
                  <c:v>140.13228820962578</c:v>
                </c:pt>
                <c:pt idx="50">
                  <c:v>140.13228820962578</c:v>
                </c:pt>
                <c:pt idx="51">
                  <c:v>163.54343841260277</c:v>
                </c:pt>
              </c:numCache>
            </c:numRef>
          </c:xVal>
          <c:yVal>
            <c:numRef>
              <c:f>'Path Calculations'!$U$8:$U$59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-171.85179770062507</c:v>
                </c:pt>
                <c:pt idx="4">
                  <c:v>-171.85179770062507</c:v>
                </c:pt>
                <c:pt idx="5">
                  <c:v>-171.85179770062507</c:v>
                </c:pt>
                <c:pt idx="6">
                  <c:v>-183.38304833895268</c:v>
                </c:pt>
                <c:pt idx="7">
                  <c:v>-183.38304833895268</c:v>
                </c:pt>
                <c:pt idx="8">
                  <c:v>-183.38304833895268</c:v>
                </c:pt>
                <c:pt idx="9">
                  <c:v>-199.05499688614128</c:v>
                </c:pt>
                <c:pt idx="10">
                  <c:v>-199.05499688614128</c:v>
                </c:pt>
                <c:pt idx="11">
                  <c:v>-199.05499688614128</c:v>
                </c:pt>
                <c:pt idx="12">
                  <c:v>-209.66820704997934</c:v>
                </c:pt>
                <c:pt idx="13">
                  <c:v>-209.66820704997934</c:v>
                </c:pt>
                <c:pt idx="14">
                  <c:v>-209.66820704997934</c:v>
                </c:pt>
                <c:pt idx="15">
                  <c:v>-216.8700228769616</c:v>
                </c:pt>
                <c:pt idx="16">
                  <c:v>-216.8700228769616</c:v>
                </c:pt>
                <c:pt idx="17">
                  <c:v>-216.8700228769616</c:v>
                </c:pt>
                <c:pt idx="18">
                  <c:v>-231.42199947370091</c:v>
                </c:pt>
                <c:pt idx="19">
                  <c:v>-231.42199947370091</c:v>
                </c:pt>
                <c:pt idx="20">
                  <c:v>-231.42199947370091</c:v>
                </c:pt>
                <c:pt idx="21">
                  <c:v>-251.19937133557647</c:v>
                </c:pt>
                <c:pt idx="22">
                  <c:v>-251.19937133557647</c:v>
                </c:pt>
                <c:pt idx="23">
                  <c:v>-251.19937133557647</c:v>
                </c:pt>
                <c:pt idx="24">
                  <c:v>-264.59281804995362</c:v>
                </c:pt>
                <c:pt idx="25">
                  <c:v>-264.59281804995362</c:v>
                </c:pt>
                <c:pt idx="26">
                  <c:v>-264.59281804995362</c:v>
                </c:pt>
                <c:pt idx="27">
                  <c:v>-467.22533981807214</c:v>
                </c:pt>
                <c:pt idx="31">
                  <c:v>-467.22533981807214</c:v>
                </c:pt>
                <c:pt idx="32">
                  <c:v>-467.22533981807214</c:v>
                </c:pt>
                <c:pt idx="33">
                  <c:v>-467.22533981807214</c:v>
                </c:pt>
                <c:pt idx="34">
                  <c:v>-467.22533981807214</c:v>
                </c:pt>
                <c:pt idx="35">
                  <c:v>-467.22533981807214</c:v>
                </c:pt>
                <c:pt idx="36">
                  <c:v>-335.24223197254503</c:v>
                </c:pt>
                <c:pt idx="37">
                  <c:v>-160.14884979702302</c:v>
                </c:pt>
                <c:pt idx="38">
                  <c:v>-160.14884979702302</c:v>
                </c:pt>
                <c:pt idx="39">
                  <c:v>-150.00000000000003</c:v>
                </c:pt>
                <c:pt idx="40">
                  <c:v>-150.00000000000003</c:v>
                </c:pt>
                <c:pt idx="41">
                  <c:v>-150.00000000000003</c:v>
                </c:pt>
                <c:pt idx="42">
                  <c:v>-150.00000000000003</c:v>
                </c:pt>
                <c:pt idx="43">
                  <c:v>-150.00000000000003</c:v>
                </c:pt>
                <c:pt idx="44">
                  <c:v>-150.00000000000003</c:v>
                </c:pt>
                <c:pt idx="45">
                  <c:v>-150.00000000000003</c:v>
                </c:pt>
                <c:pt idx="46">
                  <c:v>-150.00000000000003</c:v>
                </c:pt>
                <c:pt idx="47">
                  <c:v>-150.00000000000003</c:v>
                </c:pt>
                <c:pt idx="48">
                  <c:v>-150.00000000000003</c:v>
                </c:pt>
                <c:pt idx="49">
                  <c:v>-150.00000000000003</c:v>
                </c:pt>
                <c:pt idx="50">
                  <c:v>-150.00000000000003</c:v>
                </c:pt>
                <c:pt idx="51">
                  <c:v>-150.00000000000003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30-401E-A86D-2709D2BCA7BE}"/>
            </c:ext>
          </c:extLst>
        </c:ser>
        <c:ser>
          <c:idx val="4"/>
          <c:order val="4"/>
          <c:tx>
            <c:v>Error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1071767-2AA3-41A0-A191-D3B30FE60DB4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430-401E-A86D-2709D2BCA7BE}"/>
                </c:ext>
              </c:extLst>
            </c:dLbl>
            <c:dLbl>
              <c:idx val="1"/>
              <c:layout>
                <c:manualLayout>
                  <c:x val="-1.2221203788573174E-3"/>
                  <c:y val="-2.5396825396825397E-2"/>
                </c:manualLayout>
              </c:layout>
              <c:tx>
                <c:rich>
                  <a:bodyPr/>
                  <a:lstStyle/>
                  <a:p>
                    <a:fld id="{2701C688-2534-4919-8E74-43D55214ECE7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430-401E-A86D-2709D2BCA7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9BE07D-AF66-402D-91D3-19CC079B8ACE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430-401E-A86D-2709D2BCA7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444BB0C-9518-4CBE-B433-66659FA80C30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430-401E-A86D-2709D2BCA7BE}"/>
                </c:ext>
              </c:extLst>
            </c:dLbl>
            <c:dLbl>
              <c:idx val="4"/>
              <c:layout>
                <c:manualLayout>
                  <c:x val="4.7662694775435381E-2"/>
                  <c:y val="-5.8412698412698416E-2"/>
                </c:manualLayout>
              </c:layout>
              <c:tx>
                <c:rich>
                  <a:bodyPr/>
                  <a:lstStyle/>
                  <a:p>
                    <a:fld id="{FA22AD7B-A221-48CE-BEBC-DA6A039CF03D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430-401E-A86D-2709D2BCA7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B47F2C4-D1D2-4C42-9F5F-FD1BBA0162E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430-401E-A86D-2709D2BCA7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63127F3-17C0-4CA6-B818-EB3D949376E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430-401E-A86D-2709D2BCA7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09CC64D-5EBC-4AEC-B2C1-E68769DA709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430-401E-A86D-2709D2BCA7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7723E8D-37C6-4D55-90AE-D375ABE8376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430-401E-A86D-2709D2BCA7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132749C-A9C5-457C-9F52-B701249C07E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430-401E-A86D-2709D2BCA7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D19D2BA-B777-4B01-9E1C-8B1B29A34D6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430-401E-A86D-2709D2BCA7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23B5C32-6708-4F43-A5CA-F5FEB85258FE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430-401E-A86D-2709D2BCA7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CB1F498-DDB2-42C1-89A0-184A9B27B91E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430-401E-A86D-2709D2BCA7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7D38C1C-3F52-4473-8117-D26052EDC32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430-401E-A86D-2709D2BCA7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953622F-2593-4FF2-8247-61D0CE0784C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430-401E-A86D-2709D2BCA7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DD22ED0-BA6F-453B-BB5D-4CF01E43724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430-401E-A86D-2709D2BCA7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CD181DB-6D5F-4040-BA1C-FECD21C3AB4C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430-401E-A86D-2709D2BCA7B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94DE579-D6A6-4B83-A137-176FC7778C6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430-401E-A86D-2709D2BCA7B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0049FFB-8A0B-4B56-87F8-4BAB89E3D02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430-401E-A86D-2709D2BCA7B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21FD154-5E8D-4D5E-A161-7CB2C0FEA5E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430-401E-A86D-2709D2BCA7B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BB1E331-9DA7-4EF1-9CE0-FD8653BB11B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430-401E-A86D-2709D2BCA7B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9594842-8362-468B-A26F-CEA39602C47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430-401E-A86D-2709D2BCA7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B594634-81BF-4144-95A5-4B48A8FD7B4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430-401E-A86D-2709D2BCA7B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5137577-4EF5-4A1D-BFA3-D84F739C338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430-401E-A86D-2709D2BCA7B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FCDADE0-B524-470B-A870-618150B327A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430-401E-A86D-2709D2BCA7B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667C8E7-3010-4350-B34F-B1418A9DCBC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430-401E-A86D-2709D2BCA7B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D72BAB4-281F-4557-B30D-9AFD06009BF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430-401E-A86D-2709D2BCA7B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24F9435-C445-454D-8D53-0749F271CB2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430-401E-A86D-2709D2BCA7BE}"/>
                </c:ext>
              </c:extLst>
            </c:dLbl>
            <c:dLbl>
              <c:idx val="28"/>
              <c:layout>
                <c:manualLayout>
                  <c:x val="-1.2221203788573174E-2"/>
                  <c:y val="3.8095238095238099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430-401E-A86D-2709D2BCA7B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22-8430-401E-A86D-2709D2BCA7B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23-8430-401E-A86D-2709D2BCA7BE}"/>
                </c:ext>
              </c:extLst>
            </c:dLbl>
            <c:dLbl>
              <c:idx val="31"/>
              <c:layout>
                <c:manualLayout>
                  <c:x val="-1.8331805682859761E-2"/>
                  <c:y val="9.1428571428571331E-2"/>
                </c:manualLayout>
              </c:layout>
              <c:tx>
                <c:rich>
                  <a:bodyPr/>
                  <a:lstStyle/>
                  <a:p>
                    <a:fld id="{253C2456-C5C2-441C-B9BB-9CB3AB99317D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8430-401E-A86D-2709D2BCA7B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CE7AF77-577A-4922-A915-BB3FE33532EE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430-401E-A86D-2709D2BCA7B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722DB5E3-D0A0-4FCC-99B7-1513BA8E15B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430-401E-A86D-2709D2BCA7B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539E4A6-6D00-4CCF-A56C-F87681CE4B9C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430-401E-A86D-2709D2BCA7B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23A6F59-AA3F-4BAB-8BF4-B957DF42E46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430-401E-A86D-2709D2BCA7B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DFA6F0D4-6CB1-4A92-8132-C1CC6B4B0DB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430-401E-A86D-2709D2BCA7B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F27F0CA-874F-4CF6-BEF4-44F42CFDBD4C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430-401E-A86D-2709D2BCA7B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755F092E-4D4C-471F-87BA-1DA081A4FDA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430-401E-A86D-2709D2BCA7BE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0F17C40D-E8AF-4315-91A2-1609FCD0D57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430-401E-A86D-2709D2BCA7BE}"/>
                </c:ext>
              </c:extLst>
            </c:dLbl>
            <c:dLbl>
              <c:idx val="40"/>
              <c:layout>
                <c:manualLayout>
                  <c:x val="-1.2221203788573174E-3"/>
                  <c:y val="7.61904761904761E-2"/>
                </c:manualLayout>
              </c:layout>
              <c:tx>
                <c:rich>
                  <a:bodyPr/>
                  <a:lstStyle/>
                  <a:p>
                    <a:fld id="{2204F323-7385-4D09-A9E7-66FE7286FB0A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8430-401E-A86D-2709D2BCA7BE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A38ABEF4-2DA0-4D2D-82A8-34802C450C6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430-401E-A86D-2709D2BCA7BE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3F9636DE-9AA8-4883-9AC8-5E0184FF332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430-401E-A86D-2709D2BCA7BE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853ACD9-CD20-477A-A12B-6E2175E794A2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430-401E-A86D-2709D2BCA7BE}"/>
                </c:ext>
              </c:extLst>
            </c:dLbl>
            <c:dLbl>
              <c:idx val="44"/>
              <c:layout>
                <c:manualLayout>
                  <c:x val="-1.222120378857407E-3"/>
                  <c:y val="6.6031746031746039E-2"/>
                </c:manualLayout>
              </c:layout>
              <c:tx>
                <c:rich>
                  <a:bodyPr/>
                  <a:lstStyle/>
                  <a:p>
                    <a:fld id="{B17577B3-AEFE-48BA-9FBA-14D337A48EDD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8430-401E-A86D-2709D2BCA7BE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AE241DC-CAAC-439D-8A24-9E17D866210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430-401E-A86D-2709D2BCA7BE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C1B4D53-167C-4931-BC2E-AF399C1F77B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8430-401E-A86D-2709D2BCA7BE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850589E-F561-40E2-BBD4-0EE3D8C4ADA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430-401E-A86D-2709D2BCA7BE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46E5557-5CF5-4698-B4C9-C5A0CC9496B2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430-401E-A86D-2709D2BCA7BE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D20198BA-69B7-4496-BDAB-9ABC4878149C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430-401E-A86D-2709D2BCA7BE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1DE450D0-BC1A-4D04-AA98-F211305F5F5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8430-401E-A86D-2709D2BCA7BE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1547472-4912-4131-99D6-0E6E9176A94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8430-401E-A86D-2709D2BCA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xVal>
            <c:numRef>
              <c:f>'Path Calculations'!$O$8:$O$59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47.096581047670639</c:v>
                </c:pt>
                <c:pt idx="4">
                  <c:v>47.096581047670639</c:v>
                </c:pt>
                <c:pt idx="5">
                  <c:v>47.096581047670639</c:v>
                </c:pt>
                <c:pt idx="6">
                  <c:v>50.256760269159372</c:v>
                </c:pt>
                <c:pt idx="7">
                  <c:v>50.256760269159372</c:v>
                </c:pt>
                <c:pt idx="8">
                  <c:v>50.256760269159372</c:v>
                </c:pt>
                <c:pt idx="9">
                  <c:v>54.55171211024161</c:v>
                </c:pt>
                <c:pt idx="10">
                  <c:v>54.55171211024161</c:v>
                </c:pt>
                <c:pt idx="11">
                  <c:v>54.55171211024161</c:v>
                </c:pt>
                <c:pt idx="12">
                  <c:v>57.460299156435447</c:v>
                </c:pt>
                <c:pt idx="13">
                  <c:v>57.460299156435447</c:v>
                </c:pt>
                <c:pt idx="14">
                  <c:v>57.460299156435447</c:v>
                </c:pt>
                <c:pt idx="15">
                  <c:v>59.433981755768727</c:v>
                </c:pt>
                <c:pt idx="16">
                  <c:v>59.433981755768727</c:v>
                </c:pt>
                <c:pt idx="17">
                  <c:v>59.433981755768727</c:v>
                </c:pt>
                <c:pt idx="18">
                  <c:v>63.422001400381653</c:v>
                </c:pt>
                <c:pt idx="19">
                  <c:v>63.422001400381653</c:v>
                </c:pt>
                <c:pt idx="20">
                  <c:v>63.422001400381653</c:v>
                </c:pt>
                <c:pt idx="21">
                  <c:v>68.842058736211058</c:v>
                </c:pt>
                <c:pt idx="22">
                  <c:v>68.842058736211058</c:v>
                </c:pt>
                <c:pt idx="23">
                  <c:v>68.842058736211058</c:v>
                </c:pt>
                <c:pt idx="24">
                  <c:v>72.512579249416177</c:v>
                </c:pt>
                <c:pt idx="25">
                  <c:v>72.512579249416177</c:v>
                </c:pt>
                <c:pt idx="26">
                  <c:v>72.512579249416177</c:v>
                </c:pt>
                <c:pt idx="27">
                  <c:v>128.04472445845852</c:v>
                </c:pt>
                <c:pt idx="28">
                  <c:v>128.04472445845852</c:v>
                </c:pt>
                <c:pt idx="29">
                  <c:v>128.04472445845852</c:v>
                </c:pt>
                <c:pt idx="30">
                  <c:v>128.04472445845852</c:v>
                </c:pt>
                <c:pt idx="31">
                  <c:v>128.04472445845852</c:v>
                </c:pt>
                <c:pt idx="32">
                  <c:v>128.04472445845852</c:v>
                </c:pt>
                <c:pt idx="33">
                  <c:v>128.04472445845852</c:v>
                </c:pt>
                <c:pt idx="34">
                  <c:v>128.04472445845852</c:v>
                </c:pt>
                <c:pt idx="35">
                  <c:v>128.04472445845852</c:v>
                </c:pt>
                <c:pt idx="36">
                  <c:v>129.46970305475494</c:v>
                </c:pt>
                <c:pt idx="37">
                  <c:v>129.46970305475494</c:v>
                </c:pt>
                <c:pt idx="38">
                  <c:v>129.46970305475494</c:v>
                </c:pt>
                <c:pt idx="39">
                  <c:v>131.46970305475494</c:v>
                </c:pt>
                <c:pt idx="40">
                  <c:v>131.46970305475494</c:v>
                </c:pt>
                <c:pt idx="41">
                  <c:v>131.46970305475494</c:v>
                </c:pt>
                <c:pt idx="42">
                  <c:v>134.00691550401069</c:v>
                </c:pt>
                <c:pt idx="43">
                  <c:v>134.00691550401069</c:v>
                </c:pt>
                <c:pt idx="44">
                  <c:v>134.00691550401069</c:v>
                </c:pt>
                <c:pt idx="45">
                  <c:v>137.59507576037004</c:v>
                </c:pt>
                <c:pt idx="46">
                  <c:v>137.59507576037004</c:v>
                </c:pt>
                <c:pt idx="47">
                  <c:v>137.59507576037004</c:v>
                </c:pt>
                <c:pt idx="48">
                  <c:v>140.13228820962578</c:v>
                </c:pt>
                <c:pt idx="49">
                  <c:v>140.13228820962578</c:v>
                </c:pt>
                <c:pt idx="50">
                  <c:v>140.13228820962578</c:v>
                </c:pt>
                <c:pt idx="51">
                  <c:v>163.54343841260277</c:v>
                </c:pt>
              </c:numCache>
            </c:numRef>
          </c:xVal>
          <c:yVal>
            <c:numRef>
              <c:f>'Path Calculations'!$S$8:$S$59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-1.1481618429343143E-4</c:v>
                </c:pt>
                <c:pt idx="4">
                  <c:v>-1.1481618429343143E-4</c:v>
                </c:pt>
                <c:pt idx="5">
                  <c:v>-1.1481618429343143E-4</c:v>
                </c:pt>
                <c:pt idx="6">
                  <c:v>40.397200864723459</c:v>
                </c:pt>
                <c:pt idx="7">
                  <c:v>40.397200864723459</c:v>
                </c:pt>
                <c:pt idx="8">
                  <c:v>40.397200864723459</c:v>
                </c:pt>
                <c:pt idx="9">
                  <c:v>49.908552377596209</c:v>
                </c:pt>
                <c:pt idx="10">
                  <c:v>49.908552377596209</c:v>
                </c:pt>
                <c:pt idx="11">
                  <c:v>49.908552377596209</c:v>
                </c:pt>
                <c:pt idx="12">
                  <c:v>4.8802021979099663E-6</c:v>
                </c:pt>
                <c:pt idx="13">
                  <c:v>4.8802021979099663E-6</c:v>
                </c:pt>
                <c:pt idx="14">
                  <c:v>4.8802021979099663E-6</c:v>
                </c:pt>
                <c:pt idx="15">
                  <c:v>6.8585222834371962E-8</c:v>
                </c:pt>
                <c:pt idx="16">
                  <c:v>6.8585222834371962E-8</c:v>
                </c:pt>
                <c:pt idx="17">
                  <c:v>6.8585222834371962E-8</c:v>
                </c:pt>
                <c:pt idx="18">
                  <c:v>50.979793023664797</c:v>
                </c:pt>
                <c:pt idx="19">
                  <c:v>50.979793023664797</c:v>
                </c:pt>
                <c:pt idx="20">
                  <c:v>50.979793023664797</c:v>
                </c:pt>
                <c:pt idx="21">
                  <c:v>62.982727495731751</c:v>
                </c:pt>
                <c:pt idx="22">
                  <c:v>62.982727495731751</c:v>
                </c:pt>
                <c:pt idx="23">
                  <c:v>62.982727495731751</c:v>
                </c:pt>
                <c:pt idx="24">
                  <c:v>1.3538114421862701E-4</c:v>
                </c:pt>
                <c:pt idx="25">
                  <c:v>1.3538114421862701E-4</c:v>
                </c:pt>
                <c:pt idx="26">
                  <c:v>1.3538114421862701E-4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-350.18676435104402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37.806015070500848</c:v>
                </c:pt>
                <c:pt idx="43">
                  <c:v>37.806015070500848</c:v>
                </c:pt>
                <c:pt idx="44">
                  <c:v>37.806015070500848</c:v>
                </c:pt>
                <c:pt idx="45">
                  <c:v>37.806015070500735</c:v>
                </c:pt>
                <c:pt idx="46">
                  <c:v>37.806015070500735</c:v>
                </c:pt>
                <c:pt idx="47">
                  <c:v>37.806015070500735</c:v>
                </c:pt>
                <c:pt idx="48">
                  <c:v>-5.6843418860808015E-14</c:v>
                </c:pt>
                <c:pt idx="49">
                  <c:v>-5.6843418860808015E-14</c:v>
                </c:pt>
                <c:pt idx="50">
                  <c:v>-5.6843418860808015E-14</c:v>
                </c:pt>
                <c:pt idx="51">
                  <c:v>-5.6843418860808015E-14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'Path Calculations'!$B$6:$B$59</c15:f>
                <c15:dlblRangeCache>
                  <c:ptCount val="54"/>
                  <c:pt idx="1">
                    <c:v>S1</c:v>
                  </c:pt>
                  <c:pt idx="28">
                    <c:v>S3</c:v>
                  </c:pt>
                  <c:pt idx="40">
                    <c:v>S4</c:v>
                  </c:pt>
                  <c:pt idx="52">
                    <c:v>S5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8430-401E-A86D-2709D2BC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56936"/>
        <c:axId val="145855368"/>
      </c:scatterChart>
      <c:valAx>
        <c:axId val="145856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</a:t>
                </a:r>
              </a:p>
            </c:rich>
          </c:tx>
          <c:layout>
            <c:manualLayout>
              <c:xMode val="edge"/>
              <c:yMode val="edge"/>
              <c:x val="0.49832214765100669"/>
              <c:y val="0.899162220107102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55368"/>
        <c:crosses val="autoZero"/>
        <c:crossBetween val="midCat"/>
      </c:valAx>
      <c:valAx>
        <c:axId val="14585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</a:t>
                </a:r>
              </a:p>
            </c:rich>
          </c:tx>
          <c:layout>
            <c:manualLayout>
              <c:xMode val="edge"/>
              <c:yMode val="edge"/>
              <c:x val="2.6845637583892617E-2"/>
              <c:y val="0.45098170421005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569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54809843400453E-2"/>
          <c:y val="5.0570726531523988E-2"/>
          <c:w val="0.86577181208053688"/>
          <c:h val="0.85996409335727109"/>
        </c:manualLayout>
      </c:layout>
      <c:scatterChart>
        <c:scatterStyle val="lineMarker"/>
        <c:varyColors val="0"/>
        <c:ser>
          <c:idx val="6"/>
          <c:order val="0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'Panel Calculations'!$G$6:$G$17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12.7</c:v>
                </c:pt>
                <c:pt idx="4">
                  <c:v>15.2</c:v>
                </c:pt>
                <c:pt idx="5">
                  <c:v>15.2</c:v>
                </c:pt>
                <c:pt idx="6">
                  <c:v>12.7</c:v>
                </c:pt>
                <c:pt idx="7">
                  <c:v>2</c:v>
                </c:pt>
                <c:pt idx="8">
                  <c:v>2</c:v>
                </c:pt>
                <c:pt idx="9">
                  <c:v>12.7</c:v>
                </c:pt>
                <c:pt idx="10">
                  <c:v>12.7</c:v>
                </c:pt>
                <c:pt idx="11">
                  <c:v>12.7</c:v>
                </c:pt>
              </c:numCache>
            </c:numRef>
          </c:xVal>
          <c:yVal>
            <c:numRef>
              <c:f>'Panel Calculations'!$H$6:$H$17</c:f>
              <c:numCache>
                <c:formatCode>0.0</c:formatCode>
                <c:ptCount val="12"/>
                <c:pt idx="0">
                  <c:v>48.36</c:v>
                </c:pt>
                <c:pt idx="1">
                  <c:v>79.36</c:v>
                </c:pt>
                <c:pt idx="2">
                  <c:v>77.86</c:v>
                </c:pt>
                <c:pt idx="3">
                  <c:v>73.36</c:v>
                </c:pt>
                <c:pt idx="4">
                  <c:v>73.36</c:v>
                </c:pt>
                <c:pt idx="5">
                  <c:v>54.36</c:v>
                </c:pt>
                <c:pt idx="6">
                  <c:v>54.36</c:v>
                </c:pt>
                <c:pt idx="7">
                  <c:v>49.86</c:v>
                </c:pt>
                <c:pt idx="8">
                  <c:v>63.86</c:v>
                </c:pt>
                <c:pt idx="9">
                  <c:v>63.86</c:v>
                </c:pt>
                <c:pt idx="10">
                  <c:v>54.36</c:v>
                </c:pt>
                <c:pt idx="11">
                  <c:v>73.36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44-4BD6-AA5B-754F5C994897}"/>
            </c:ext>
          </c:extLst>
        </c:ser>
        <c:ser>
          <c:idx val="1"/>
          <c:order val="1"/>
          <c:tx>
            <c:v>Samples</c:v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rgbClr val="C00000"/>
              </a:solidFill>
            </c:spPr>
          </c:marker>
          <c:xVal>
            <c:numRef>
              <c:f>'Path Calculations'!$G$6:$G$59</c:f>
              <c:numCache>
                <c:formatCode>0.0</c:formatCode>
                <c:ptCount val="54"/>
                <c:pt idx="0">
                  <c:v>33.56</c:v>
                </c:pt>
                <c:pt idx="1">
                  <c:v>33.56</c:v>
                </c:pt>
                <c:pt idx="3">
                  <c:v>22.687435928399573</c:v>
                </c:pt>
                <c:pt idx="4">
                  <c:v>33.56</c:v>
                </c:pt>
                <c:pt idx="6">
                  <c:v>22.687435928399573</c:v>
                </c:pt>
                <c:pt idx="7">
                  <c:v>33.56</c:v>
                </c:pt>
                <c:pt idx="9">
                  <c:v>22.687435928399573</c:v>
                </c:pt>
                <c:pt idx="10">
                  <c:v>27.742825907612328</c:v>
                </c:pt>
                <c:pt idx="12">
                  <c:v>22.687435928399573</c:v>
                </c:pt>
                <c:pt idx="13">
                  <c:v>21.925651815224654</c:v>
                </c:pt>
                <c:pt idx="15">
                  <c:v>20.740028923806697</c:v>
                </c:pt>
                <c:pt idx="16">
                  <c:v>19.952078578451694</c:v>
                </c:pt>
                <c:pt idx="18">
                  <c:v>20.740028923806697</c:v>
                </c:pt>
                <c:pt idx="19">
                  <c:v>11.976039289225847</c:v>
                </c:pt>
                <c:pt idx="21">
                  <c:v>20.740028923806697</c:v>
                </c:pt>
                <c:pt idx="22">
                  <c:v>4</c:v>
                </c:pt>
                <c:pt idx="24">
                  <c:v>20.740028923806697</c:v>
                </c:pt>
                <c:pt idx="25">
                  <c:v>4</c:v>
                </c:pt>
                <c:pt idx="27">
                  <c:v>4</c:v>
                </c:pt>
                <c:pt idx="28">
                  <c:v>33.56</c:v>
                </c:pt>
                <c:pt idx="33">
                  <c:v>28.16093792500547</c:v>
                </c:pt>
                <c:pt idx="34">
                  <c:v>28.16093792500547</c:v>
                </c:pt>
                <c:pt idx="36">
                  <c:v>33.56</c:v>
                </c:pt>
                <c:pt idx="37">
                  <c:v>23.411150202976998</c:v>
                </c:pt>
                <c:pt idx="39">
                  <c:v>33.56</c:v>
                </c:pt>
                <c:pt idx="40">
                  <c:v>23.411150202976998</c:v>
                </c:pt>
                <c:pt idx="42">
                  <c:v>33.56</c:v>
                </c:pt>
                <c:pt idx="43">
                  <c:v>23.411150202976998</c:v>
                </c:pt>
                <c:pt idx="45">
                  <c:v>28.4855751014885</c:v>
                </c:pt>
                <c:pt idx="46">
                  <c:v>23.411150202976998</c:v>
                </c:pt>
                <c:pt idx="48">
                  <c:v>23.411150202976998</c:v>
                </c:pt>
                <c:pt idx="49">
                  <c:v>23.411150202976998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'Path Calculations'!$H$6:$H$59</c:f>
              <c:numCache>
                <c:formatCode>0.0</c:formatCode>
                <c:ptCount val="54"/>
                <c:pt idx="0">
                  <c:v>24.625311707198858</c:v>
                </c:pt>
                <c:pt idx="1">
                  <c:v>24.625311707198858</c:v>
                </c:pt>
                <c:pt idx="3">
                  <c:v>71.094896966547083</c:v>
                </c:pt>
                <c:pt idx="4">
                  <c:v>71.719283114045083</c:v>
                </c:pt>
                <c:pt idx="6">
                  <c:v>71.094896966547083</c:v>
                </c:pt>
                <c:pt idx="7">
                  <c:v>78.039641557022549</c:v>
                </c:pt>
                <c:pt idx="9">
                  <c:v>71.094896966547083</c:v>
                </c:pt>
                <c:pt idx="10">
                  <c:v>84.36</c:v>
                </c:pt>
                <c:pt idx="12">
                  <c:v>71.094896966547083</c:v>
                </c:pt>
                <c:pt idx="13">
                  <c:v>84.36</c:v>
                </c:pt>
                <c:pt idx="15">
                  <c:v>70.639258997911242</c:v>
                </c:pt>
                <c:pt idx="16">
                  <c:v>84.36</c:v>
                </c:pt>
                <c:pt idx="18">
                  <c:v>70.639258997911242</c:v>
                </c:pt>
                <c:pt idx="19">
                  <c:v>84.36</c:v>
                </c:pt>
                <c:pt idx="21">
                  <c:v>70.639258997911242</c:v>
                </c:pt>
                <c:pt idx="22">
                  <c:v>77.018958973589747</c:v>
                </c:pt>
                <c:pt idx="24">
                  <c:v>70.639258997911242</c:v>
                </c:pt>
                <c:pt idx="25">
                  <c:v>69.677917947179495</c:v>
                </c:pt>
                <c:pt idx="27">
                  <c:v>14.148849797023002</c:v>
                </c:pt>
                <c:pt idx="28">
                  <c:v>15.846412064625614</c:v>
                </c:pt>
                <c:pt idx="33">
                  <c:v>15.53635644693431</c:v>
                </c:pt>
                <c:pt idx="34">
                  <c:v>15.53635644693431</c:v>
                </c:pt>
                <c:pt idx="36">
                  <c:v>14.148849797023002</c:v>
                </c:pt>
                <c:pt idx="37">
                  <c:v>14.148849797023002</c:v>
                </c:pt>
                <c:pt idx="39">
                  <c:v>12.148849797023002</c:v>
                </c:pt>
                <c:pt idx="40">
                  <c:v>12.148849797023002</c:v>
                </c:pt>
                <c:pt idx="42">
                  <c:v>7.0744248985115012</c:v>
                </c:pt>
                <c:pt idx="43">
                  <c:v>12.148849797023002</c:v>
                </c:pt>
                <c:pt idx="45">
                  <c:v>2</c:v>
                </c:pt>
                <c:pt idx="46">
                  <c:v>12.148849797023002</c:v>
                </c:pt>
                <c:pt idx="48">
                  <c:v>2</c:v>
                </c:pt>
                <c:pt idx="49">
                  <c:v>12.148849797023002</c:v>
                </c:pt>
                <c:pt idx="51">
                  <c:v>12.148849797023002</c:v>
                </c:pt>
                <c:pt idx="5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44-4BD6-AA5B-754F5C994897}"/>
            </c:ext>
          </c:extLst>
        </c:ser>
        <c:ser>
          <c:idx val="2"/>
          <c:order val="2"/>
          <c:tx>
            <c:v>Advanced Centerline</c:v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C844-4BD6-AA5B-754F5C994897}"/>
              </c:ext>
            </c:extLst>
          </c:dPt>
          <c:dLbls>
            <c:dLbl>
              <c:idx val="0"/>
              <c:layout>
                <c:manualLayout>
                  <c:x val="1.824817518248175E-2"/>
                  <c:y val="-1.8223419299982228E-2"/>
                </c:manualLayout>
              </c:layout>
              <c:tx>
                <c:rich>
                  <a:bodyPr/>
                  <a:lstStyle/>
                  <a:p>
                    <a:fld id="{C182299E-973A-4A0D-BF97-AB2A06837F11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844-4BD6-AA5B-754F5C99489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030449-B6EC-49CD-9AED-E6E30A74F40F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844-4BD6-AA5B-754F5C99489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3E4014-0033-4638-993C-F3EC12B0D14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844-4BD6-AA5B-754F5C99489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DC11D4-E513-4E24-8B4B-875EFDEB15D0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844-4BD6-AA5B-754F5C99489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0408435-DE06-4326-B1F1-88B9F6F9ABB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844-4BD6-AA5B-754F5C99489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A290CC4-F08F-4D85-BCFB-0CF2A0B7C730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844-4BD6-AA5B-754F5C99489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F41CE2C-F511-4D1A-B35F-C011F5B21A2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844-4BD6-AA5B-754F5C99489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ECD471-6A6D-4704-A8B8-D75FA4D7BC47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844-4BD6-AA5B-754F5C99489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6576BBB-5773-4A50-8DF2-8C0A4A7D4B2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844-4BD6-AA5B-754F5C99489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43A688B-BA7B-4C27-8330-A657E6E4C0F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844-4BD6-AA5B-754F5C99489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01A65F9-5587-4B1C-A633-27CD57F8E94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844-4BD6-AA5B-754F5C99489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9873976-4DD0-422D-A5DA-7C8620CFC51D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844-4BD6-AA5B-754F5C99489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B1B211B-E822-4863-8D0E-5F5180CC038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844-4BD6-AA5B-754F5C99489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83FEB07-5AE3-4852-A0EA-22778258C2C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844-4BD6-AA5B-754F5C99489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345CB53-D2E5-40BC-8097-DE6B24BA2A7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844-4BD6-AA5B-754F5C99489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D8E2265-C731-46B1-8F75-B06A92CF182E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844-4BD6-AA5B-754F5C99489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14ECA2E-9102-43D8-BBC6-0A22C6D9DC5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844-4BD6-AA5B-754F5C99489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01AB9E3-348C-463D-B37C-9E0255BE750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844-4BD6-AA5B-754F5C99489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D6F27CC-E0ED-407E-B40A-F48E4F32DE6F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844-4BD6-AA5B-754F5C99489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AA5EC8D-C8A6-4676-9AC8-F0563D82826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844-4BD6-AA5B-754F5C99489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6F6B450-0454-4239-A8C1-0F07FC7C6980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844-4BD6-AA5B-754F5C99489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F6CE0DD-C291-45D8-989C-DCEE037DB6E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844-4BD6-AA5B-754F5C99489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E21A4A1-0A0A-409E-89BB-F927E171A5F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844-4BD6-AA5B-754F5C99489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8012347-84CE-4251-9A0C-F3657A773882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844-4BD6-AA5B-754F5C99489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B5EFAAC-B2A1-4785-BEC2-7A04DD3B2AD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844-4BD6-AA5B-754F5C99489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2C72CE4-E6FA-445A-85D2-AA78EB487C1F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844-4BD6-AA5B-754F5C99489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5146E9D-55D8-441C-9CC0-B29E5162B68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844-4BD6-AA5B-754F5C99489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19B3AF9-9091-4FA0-9299-CD6D5457193C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844-4BD6-AA5B-754F5C99489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CDF84CA-B06C-405F-8F14-5C6FB3F804F6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844-4BD6-AA5B-754F5C994897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530C118-169A-4663-9F15-1C472CB3060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844-4BD6-AA5B-754F5C994897}"/>
                </c:ext>
              </c:extLst>
            </c:dLbl>
            <c:dLbl>
              <c:idx val="30"/>
              <c:layout>
                <c:manualLayout>
                  <c:x val="-7.4329539779544401E-2"/>
                  <c:y val="-5.4576359265261963E-2"/>
                </c:manualLayout>
              </c:layout>
              <c:tx>
                <c:rich>
                  <a:bodyPr/>
                  <a:lstStyle/>
                  <a:p>
                    <a:fld id="{7E714EA0-3E28-4E93-AEB0-059CD7A9C4A9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844-4BD6-AA5B-754F5C994897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21-C844-4BD6-AA5B-754F5C994897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22-C844-4BD6-AA5B-754F5C994897}"/>
                </c:ext>
              </c:extLst>
            </c:dLbl>
            <c:dLbl>
              <c:idx val="33"/>
              <c:layout>
                <c:manualLayout>
                  <c:x val="-8.2859159098508467E-2"/>
                  <c:y val="-3.9933921413607288E-3"/>
                </c:manualLayout>
              </c:layout>
              <c:tx>
                <c:rich>
                  <a:bodyPr/>
                  <a:lstStyle/>
                  <a:p>
                    <a:fld id="{E74FC723-0E00-48B3-8AE4-4F38F5597725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C844-4BD6-AA5B-754F5C994897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521ACA34-B798-4185-ACFB-33D9364BF03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C844-4BD6-AA5B-754F5C994897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06DC1A73-31BB-4371-9FCC-2FE118069BA9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C844-4BD6-AA5B-754F5C994897}"/>
                </c:ext>
              </c:extLst>
            </c:dLbl>
            <c:dLbl>
              <c:idx val="36"/>
              <c:layout>
                <c:manualLayout>
                  <c:x val="3.8990555012740194E-2"/>
                  <c:y val="-3.6527437341557542E-2"/>
                </c:manualLayout>
              </c:layout>
              <c:tx>
                <c:rich>
                  <a:bodyPr/>
                  <a:lstStyle/>
                  <a:p>
                    <a:fld id="{2BD3D7DA-6E6D-4FF9-A096-8762019130CB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C844-4BD6-AA5B-754F5C994897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26E15923-E35C-4A18-8D98-E9EBE8755B5E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C844-4BD6-AA5B-754F5C994897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6AF7C599-CDF6-4DC8-BA84-1CE35E434BD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C844-4BD6-AA5B-754F5C994897}"/>
                </c:ext>
              </c:extLst>
            </c:dLbl>
            <c:dLbl>
              <c:idx val="39"/>
              <c:layout>
                <c:manualLayout>
                  <c:x val="3.4090848133034465E-2"/>
                  <c:y val="8.3991847172235623E-3"/>
                </c:manualLayout>
              </c:layout>
              <c:tx>
                <c:rich>
                  <a:bodyPr/>
                  <a:lstStyle/>
                  <a:p>
                    <a:fld id="{DD44DA00-695B-46E8-8930-E6983076207F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C844-4BD6-AA5B-754F5C994897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8BBD443-A770-48DF-ABE2-ECC8773520C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C844-4BD6-AA5B-754F5C994897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D63DA31-E14C-4CFC-A49E-1B91CB3CF754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C844-4BD6-AA5B-754F5C994897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BECC002-9B99-4B15-9FD8-BDC4CD4317A0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C844-4BD6-AA5B-754F5C994897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A9D48268-092C-432B-834A-E1184AFF7DB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C844-4BD6-AA5B-754F5C994897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599BBA5A-A082-4DAE-99BF-73058EDDF52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C844-4BD6-AA5B-754F5C994897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630ED81F-9FA9-4E7B-8414-D1C71AC94E02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C844-4BD6-AA5B-754F5C994897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DDA41A0E-4F64-4C91-AE9D-A98624ABCEB2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C844-4BD6-AA5B-754F5C994897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4AE4FFB5-BD52-4F5A-BCC1-BE98CC2F3BEB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C844-4BD6-AA5B-754F5C994897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ED780E50-D536-430F-BF11-6E2C71A0403A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C844-4BD6-AA5B-754F5C994897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B8431A9D-5179-4A11-B06D-3D43BA02FC41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C844-4BD6-AA5B-754F5C994897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379410C5-4687-4360-A1C1-09061F7AB5B3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C844-4BD6-AA5B-754F5C994897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F0DE7766-03E3-4637-89C4-BA46AAE83655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C844-4BD6-AA5B-754F5C994897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EE7D889E-D658-4F02-82C7-628E277336E8}" type="CELLRANGE">
                      <a:rPr lang="en-029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C844-4BD6-AA5B-754F5C994897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37-C844-4BD6-AA5B-754F5C994897}"/>
                </c:ext>
              </c:extLst>
            </c:dLbl>
            <c:dLbl>
              <c:idx val="54"/>
              <c:layout>
                <c:manualLayout>
                  <c:x val="-4.5012165450121669E-2"/>
                  <c:y val="1.936238300623103E-2"/>
                </c:manualLayout>
              </c:layout>
              <c:tx>
                <c:rich>
                  <a:bodyPr/>
                  <a:lstStyle/>
                  <a:p>
                    <a:fld id="{3EA9BD9E-28FB-437A-8050-7ACCE1B187D8}" type="CELLRANGE">
                      <a:rPr lang="en-US"/>
                      <a:pPr/>
                      <a:t>[CELLRANGE]</a:t>
                    </a:fld>
                    <a:endParaRPr lang="en-02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C844-4BD6-AA5B-754F5C994897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844-4BD6-AA5B-754F5C9948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xVal>
            <c:numRef>
              <c:f>'Path Calculations'!$K$6:$K$59</c:f>
              <c:numCache>
                <c:formatCode>0.0</c:formatCode>
                <c:ptCount val="54"/>
                <c:pt idx="0">
                  <c:v>33.56</c:v>
                </c:pt>
                <c:pt idx="1">
                  <c:v>33.56</c:v>
                </c:pt>
                <c:pt idx="2">
                  <c:v>33.56</c:v>
                </c:pt>
                <c:pt idx="3">
                  <c:v>28.123717964199788</c:v>
                </c:pt>
                <c:pt idx="4">
                  <c:v>28.123717964199788</c:v>
                </c:pt>
                <c:pt idx="5">
                  <c:v>28.123717964199788</c:v>
                </c:pt>
                <c:pt idx="6">
                  <c:v>28.123717964199788</c:v>
                </c:pt>
                <c:pt idx="7">
                  <c:v>28.123717964199788</c:v>
                </c:pt>
                <c:pt idx="8">
                  <c:v>28.123717964199788</c:v>
                </c:pt>
                <c:pt idx="9">
                  <c:v>25.215130918005951</c:v>
                </c:pt>
                <c:pt idx="10">
                  <c:v>25.215130918005951</c:v>
                </c:pt>
                <c:pt idx="11">
                  <c:v>25.215130918005951</c:v>
                </c:pt>
                <c:pt idx="12">
                  <c:v>22.306543871812114</c:v>
                </c:pt>
                <c:pt idx="13">
                  <c:v>22.306543871812114</c:v>
                </c:pt>
                <c:pt idx="14">
                  <c:v>22.306543871812114</c:v>
                </c:pt>
                <c:pt idx="15">
                  <c:v>20.346053751129197</c:v>
                </c:pt>
                <c:pt idx="16">
                  <c:v>20.346053751129197</c:v>
                </c:pt>
                <c:pt idx="17">
                  <c:v>20.346053751129197</c:v>
                </c:pt>
                <c:pt idx="18">
                  <c:v>16.358034106516271</c:v>
                </c:pt>
                <c:pt idx="19">
                  <c:v>16.358034106516271</c:v>
                </c:pt>
                <c:pt idx="20">
                  <c:v>16.358034106516271</c:v>
                </c:pt>
                <c:pt idx="21">
                  <c:v>12.370014461903349</c:v>
                </c:pt>
                <c:pt idx="22">
                  <c:v>12.370014461903349</c:v>
                </c:pt>
                <c:pt idx="23">
                  <c:v>12.370014461903349</c:v>
                </c:pt>
                <c:pt idx="24">
                  <c:v>12.370014461903349</c:v>
                </c:pt>
                <c:pt idx="25">
                  <c:v>12.370014461903349</c:v>
                </c:pt>
                <c:pt idx="26">
                  <c:v>12.370014461903349</c:v>
                </c:pt>
                <c:pt idx="27">
                  <c:v>18.78</c:v>
                </c:pt>
                <c:pt idx="28">
                  <c:v>18.78</c:v>
                </c:pt>
                <c:pt idx="29">
                  <c:v>18.78</c:v>
                </c:pt>
                <c:pt idx="33">
                  <c:v>28.16093792500547</c:v>
                </c:pt>
                <c:pt idx="34">
                  <c:v>28.16093792500547</c:v>
                </c:pt>
                <c:pt idx="35">
                  <c:v>28.16093792500547</c:v>
                </c:pt>
                <c:pt idx="36">
                  <c:v>28.4855751014885</c:v>
                </c:pt>
                <c:pt idx="37">
                  <c:v>28.4855751014885</c:v>
                </c:pt>
                <c:pt idx="38">
                  <c:v>28.4855751014885</c:v>
                </c:pt>
                <c:pt idx="39">
                  <c:v>28.4855751014885</c:v>
                </c:pt>
                <c:pt idx="40">
                  <c:v>28.4855751014885</c:v>
                </c:pt>
                <c:pt idx="41">
                  <c:v>28.4855751014885</c:v>
                </c:pt>
                <c:pt idx="42">
                  <c:v>28.4855751014885</c:v>
                </c:pt>
                <c:pt idx="43">
                  <c:v>28.4855751014885</c:v>
                </c:pt>
                <c:pt idx="44">
                  <c:v>28.4855751014885</c:v>
                </c:pt>
                <c:pt idx="45">
                  <c:v>25.948362652232749</c:v>
                </c:pt>
                <c:pt idx="46">
                  <c:v>25.948362652232749</c:v>
                </c:pt>
                <c:pt idx="47">
                  <c:v>25.948362652232749</c:v>
                </c:pt>
                <c:pt idx="48">
                  <c:v>23.411150202976998</c:v>
                </c:pt>
                <c:pt idx="49">
                  <c:v>23.411150202976998</c:v>
                </c:pt>
                <c:pt idx="50">
                  <c:v>23.411150202976998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'Path Calculations'!$L$6:$L$59</c:f>
              <c:numCache>
                <c:formatCode>0.0</c:formatCode>
                <c:ptCount val="54"/>
                <c:pt idx="0">
                  <c:v>24.625311707198858</c:v>
                </c:pt>
                <c:pt idx="1">
                  <c:v>24.625311707198858</c:v>
                </c:pt>
                <c:pt idx="2">
                  <c:v>24.625311707198858</c:v>
                </c:pt>
                <c:pt idx="3">
                  <c:v>71.407090040296083</c:v>
                </c:pt>
                <c:pt idx="4">
                  <c:v>71.407090040296083</c:v>
                </c:pt>
                <c:pt idx="5">
                  <c:v>71.407090040296083</c:v>
                </c:pt>
                <c:pt idx="6">
                  <c:v>74.567269261784816</c:v>
                </c:pt>
                <c:pt idx="7">
                  <c:v>74.567269261784816</c:v>
                </c:pt>
                <c:pt idx="8">
                  <c:v>74.567269261784816</c:v>
                </c:pt>
                <c:pt idx="9">
                  <c:v>77.727448483273548</c:v>
                </c:pt>
                <c:pt idx="10">
                  <c:v>77.727448483273548</c:v>
                </c:pt>
                <c:pt idx="11">
                  <c:v>77.727448483273548</c:v>
                </c:pt>
                <c:pt idx="12">
                  <c:v>77.727448483273548</c:v>
                </c:pt>
                <c:pt idx="13">
                  <c:v>77.727448483273548</c:v>
                </c:pt>
                <c:pt idx="14">
                  <c:v>77.727448483273548</c:v>
                </c:pt>
                <c:pt idx="15">
                  <c:v>77.499629498955613</c:v>
                </c:pt>
                <c:pt idx="16">
                  <c:v>77.499629498955613</c:v>
                </c:pt>
                <c:pt idx="17">
                  <c:v>77.499629498955613</c:v>
                </c:pt>
                <c:pt idx="18">
                  <c:v>77.499629498955613</c:v>
                </c:pt>
                <c:pt idx="19">
                  <c:v>77.499629498955613</c:v>
                </c:pt>
                <c:pt idx="20">
                  <c:v>77.499629498955613</c:v>
                </c:pt>
                <c:pt idx="21">
                  <c:v>73.829108985750494</c:v>
                </c:pt>
                <c:pt idx="22">
                  <c:v>73.829108985750494</c:v>
                </c:pt>
                <c:pt idx="23">
                  <c:v>73.829108985750494</c:v>
                </c:pt>
                <c:pt idx="24">
                  <c:v>70.158588472545375</c:v>
                </c:pt>
                <c:pt idx="25">
                  <c:v>70.158588472545375</c:v>
                </c:pt>
                <c:pt idx="26">
                  <c:v>70.158588472545375</c:v>
                </c:pt>
                <c:pt idx="27">
                  <c:v>14.997630930824307</c:v>
                </c:pt>
                <c:pt idx="28">
                  <c:v>14.997630930824307</c:v>
                </c:pt>
                <c:pt idx="29">
                  <c:v>14.997630930824307</c:v>
                </c:pt>
                <c:pt idx="33">
                  <c:v>15.53635644693431</c:v>
                </c:pt>
                <c:pt idx="34">
                  <c:v>15.53635644693431</c:v>
                </c:pt>
                <c:pt idx="35">
                  <c:v>15.53635644693431</c:v>
                </c:pt>
                <c:pt idx="36">
                  <c:v>14.148849797023002</c:v>
                </c:pt>
                <c:pt idx="37">
                  <c:v>14.148849797023002</c:v>
                </c:pt>
                <c:pt idx="38">
                  <c:v>14.148849797023002</c:v>
                </c:pt>
                <c:pt idx="39">
                  <c:v>12.148849797023002</c:v>
                </c:pt>
                <c:pt idx="40">
                  <c:v>12.148849797023002</c:v>
                </c:pt>
                <c:pt idx="41">
                  <c:v>12.148849797023002</c:v>
                </c:pt>
                <c:pt idx="42">
                  <c:v>9.6116373477672514</c:v>
                </c:pt>
                <c:pt idx="43">
                  <c:v>9.6116373477672514</c:v>
                </c:pt>
                <c:pt idx="44">
                  <c:v>9.6116373477672514</c:v>
                </c:pt>
                <c:pt idx="45">
                  <c:v>7.0744248985115012</c:v>
                </c:pt>
                <c:pt idx="46">
                  <c:v>7.0744248985115012</c:v>
                </c:pt>
                <c:pt idx="47">
                  <c:v>7.0744248985115012</c:v>
                </c:pt>
                <c:pt idx="48">
                  <c:v>7.0744248985115012</c:v>
                </c:pt>
                <c:pt idx="49">
                  <c:v>7.0744248985115012</c:v>
                </c:pt>
                <c:pt idx="50">
                  <c:v>7.0744248985115012</c:v>
                </c:pt>
                <c:pt idx="51">
                  <c:v>7.0744248985115012</c:v>
                </c:pt>
                <c:pt idx="52">
                  <c:v>7.0744248985115012</c:v>
                </c:pt>
                <c:pt idx="53">
                  <c:v>7.0744248985115012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'Path Calculations'!$B$7:$B$59</c15:f>
                <c15:dlblRangeCache>
                  <c:ptCount val="53"/>
                  <c:pt idx="0">
                    <c:v>S1</c:v>
                  </c:pt>
                  <c:pt idx="27">
                    <c:v>S3</c:v>
                  </c:pt>
                  <c:pt idx="39">
                    <c:v>S4</c:v>
                  </c:pt>
                  <c:pt idx="51">
                    <c:v>S5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B-C844-4BD6-AA5B-754F5C994897}"/>
            </c:ext>
          </c:extLst>
        </c:ser>
        <c:ser>
          <c:idx val="12"/>
          <c:order val="3"/>
          <c:tx>
            <c:v>Panels</c:v>
          </c:tx>
          <c:spPr>
            <a:ln>
              <a:solidFill>
                <a:srgbClr val="0033CC"/>
              </a:solidFill>
            </a:ln>
          </c:spPr>
          <c:marker>
            <c:symbol val="none"/>
          </c:marker>
          <c:xVal>
            <c:numRef>
              <c:f>'Panel Calculations'!$G$25:$G$72</c:f>
              <c:numCache>
                <c:formatCode>0.0</c:formatCode>
                <c:ptCount val="48"/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2">
                  <c:v>0</c:v>
                </c:pt>
                <c:pt idx="13">
                  <c:v>35.56</c:v>
                </c:pt>
                <c:pt idx="14">
                  <c:v>35.56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35.56</c:v>
                </c:pt>
                <c:pt idx="20">
                  <c:v>35.56</c:v>
                </c:pt>
                <c:pt idx="21">
                  <c:v>0</c:v>
                </c:pt>
                <c:pt idx="22">
                  <c:v>0</c:v>
                </c:pt>
                <c:pt idx="24">
                  <c:v>35.56</c:v>
                </c:pt>
                <c:pt idx="25">
                  <c:v>33.56</c:v>
                </c:pt>
                <c:pt idx="26">
                  <c:v>33.56</c:v>
                </c:pt>
                <c:pt idx="27">
                  <c:v>35.56</c:v>
                </c:pt>
                <c:pt idx="28">
                  <c:v>35.56</c:v>
                </c:pt>
                <c:pt idx="30">
                  <c:v>33.56</c:v>
                </c:pt>
                <c:pt idx="31">
                  <c:v>22.687435928399573</c:v>
                </c:pt>
                <c:pt idx="32">
                  <c:v>20.740028923806697</c:v>
                </c:pt>
                <c:pt idx="33">
                  <c:v>31.612592995407127</c:v>
                </c:pt>
                <c:pt idx="34">
                  <c:v>33.56</c:v>
                </c:pt>
                <c:pt idx="36">
                  <c:v>0</c:v>
                </c:pt>
                <c:pt idx="37">
                  <c:v>23.411150202976998</c:v>
                </c:pt>
                <c:pt idx="38">
                  <c:v>23.411150202976998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35.56</c:v>
                </c:pt>
                <c:pt idx="44">
                  <c:v>35.56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'Panel Calculations'!$H$25:$H$72</c:f>
              <c:numCache>
                <c:formatCode>0.0</c:formatCode>
                <c:ptCount val="48"/>
                <c:pt idx="6">
                  <c:v>14.148849797023002</c:v>
                </c:pt>
                <c:pt idx="7">
                  <c:v>84.36</c:v>
                </c:pt>
                <c:pt idx="8">
                  <c:v>84.36</c:v>
                </c:pt>
                <c:pt idx="9">
                  <c:v>14.148849797023002</c:v>
                </c:pt>
                <c:pt idx="10">
                  <c:v>14.148849797023002</c:v>
                </c:pt>
                <c:pt idx="12">
                  <c:v>84.36</c:v>
                </c:pt>
                <c:pt idx="13">
                  <c:v>84.36</c:v>
                </c:pt>
                <c:pt idx="14">
                  <c:v>86.36</c:v>
                </c:pt>
                <c:pt idx="15">
                  <c:v>86.36</c:v>
                </c:pt>
                <c:pt idx="16">
                  <c:v>84.36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84.36</c:v>
                </c:pt>
                <c:pt idx="27">
                  <c:v>84.36</c:v>
                </c:pt>
                <c:pt idx="28">
                  <c:v>2</c:v>
                </c:pt>
                <c:pt idx="30">
                  <c:v>24.625311707198858</c:v>
                </c:pt>
                <c:pt idx="31">
                  <c:v>71.094896966547083</c:v>
                </c:pt>
                <c:pt idx="32">
                  <c:v>70.639258997911242</c:v>
                </c:pt>
                <c:pt idx="33">
                  <c:v>24.169673738563013</c:v>
                </c:pt>
                <c:pt idx="34">
                  <c:v>24.625311707198858</c:v>
                </c:pt>
                <c:pt idx="36">
                  <c:v>12.148849797023002</c:v>
                </c:pt>
                <c:pt idx="37">
                  <c:v>12.148849797023002</c:v>
                </c:pt>
                <c:pt idx="38">
                  <c:v>14.148849797023002</c:v>
                </c:pt>
                <c:pt idx="39">
                  <c:v>14.148849797023002</c:v>
                </c:pt>
                <c:pt idx="40">
                  <c:v>12.148849797023002</c:v>
                </c:pt>
                <c:pt idx="42">
                  <c:v>0</c:v>
                </c:pt>
                <c:pt idx="43">
                  <c:v>0</c:v>
                </c:pt>
                <c:pt idx="44">
                  <c:v>86.36</c:v>
                </c:pt>
                <c:pt idx="45">
                  <c:v>86.36</c:v>
                </c:pt>
                <c:pt idx="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C844-4BD6-AA5B-754F5C994897}"/>
            </c:ext>
          </c:extLst>
        </c:ser>
        <c:ser>
          <c:idx val="0"/>
          <c:order val="4"/>
          <c:tx>
            <c:v>Guide lines</c:v>
          </c:tx>
          <c:marker>
            <c:symbol val="none"/>
          </c:marker>
          <c:dLbls>
            <c:dLbl>
              <c:idx val="0"/>
              <c:layout>
                <c:manualLayout>
                  <c:x val="-4.8840048840048854E-2"/>
                  <c:y val="-1.117719785231476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844-4BD6-AA5B-754F5C994897}"/>
                </c:ext>
              </c:extLst>
            </c:dLbl>
            <c:dLbl>
              <c:idx val="3"/>
              <c:layout>
                <c:manualLayout>
                  <c:x val="-1.9536019536019536E-2"/>
                  <c:y val="-1.98143523599122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C844-4BD6-AA5B-754F5C994897}"/>
                </c:ext>
              </c:extLst>
            </c:dLbl>
            <c:dLbl>
              <c:idx val="4"/>
              <c:layout>
                <c:manualLayout>
                  <c:x val="-1.3024013024013023E-2"/>
                  <c:y val="1.829017140914969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C844-4BD6-AA5B-754F5C994897}"/>
                </c:ext>
              </c:extLst>
            </c:dLbl>
            <c:dLbl>
              <c:idx val="7"/>
              <c:layout>
                <c:manualLayout>
                  <c:x val="-1.7908017908017937E-2"/>
                  <c:y val="-3.200779996601196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844-4BD6-AA5B-754F5C9948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C844-4BD6-AA5B-754F5C9948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C844-4BD6-AA5B-754F5C9948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C844-4BD6-AA5B-754F5C99489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C844-4BD6-AA5B-754F5C99489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C844-4BD6-AA5B-754F5C99489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C844-4BD6-AA5B-754F5C99489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C844-4BD6-AA5B-754F5C99489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1B-49FD-A809-2A1695B2A9C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C844-4BD6-AA5B-754F5C994897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C844-4BD6-AA5B-754F5C9948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Guides!$F$3:$F$29</c:f>
              <c:numCache>
                <c:formatCode>0.0</c:formatCode>
                <c:ptCount val="27"/>
                <c:pt idx="0">
                  <c:v>0</c:v>
                </c:pt>
                <c:pt idx="1">
                  <c:v>35.56</c:v>
                </c:pt>
                <c:pt idx="3">
                  <c:v>4</c:v>
                </c:pt>
                <c:pt idx="4">
                  <c:v>4</c:v>
                </c:pt>
                <c:pt idx="6">
                  <c:v>35.56</c:v>
                </c:pt>
                <c:pt idx="7">
                  <c:v>17.061821708392362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86.36</c:v>
                </c:pt>
              </c:numCache>
            </c:numRef>
          </c:xVal>
          <c:yVal>
            <c:numRef>
              <c:f>Guides!$G$3:$G$29</c:f>
              <c:numCache>
                <c:formatCode>0.0</c:formatCode>
                <c:ptCount val="27"/>
                <c:pt idx="0">
                  <c:v>12.148849797023002</c:v>
                </c:pt>
                <c:pt idx="1">
                  <c:v>12.148849797023002</c:v>
                </c:pt>
                <c:pt idx="3">
                  <c:v>86.36</c:v>
                </c:pt>
                <c:pt idx="4">
                  <c:v>0</c:v>
                </c:pt>
                <c:pt idx="6">
                  <c:v>7.2983667363430698</c:v>
                </c:pt>
                <c:pt idx="7">
                  <c:v>86.36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21">
                  <c:v>0</c:v>
                </c:pt>
                <c:pt idx="22">
                  <c:v>86.36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844-4BD6-AA5B-754F5C99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58896"/>
        <c:axId val="145855760"/>
      </c:scatterChart>
      <c:valAx>
        <c:axId val="145858896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1879194629"/>
              <c:y val="0.935367919435602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45855760"/>
        <c:crosses val="autoZero"/>
        <c:crossBetween val="midCat"/>
      </c:valAx>
      <c:valAx>
        <c:axId val="145855760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091722595078E-2"/>
              <c:y val="0.45448576906610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45858896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3</xdr:row>
      <xdr:rowOff>3289</xdr:rowOff>
    </xdr:from>
    <xdr:to>
      <xdr:col>21</xdr:col>
      <xdr:colOff>1</xdr:colOff>
      <xdr:row>39</xdr:row>
      <xdr:rowOff>69964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609598</xdr:colOff>
      <xdr:row>40</xdr:row>
      <xdr:rowOff>19049</xdr:rowOff>
    </xdr:from>
    <xdr:to>
      <xdr:col>20</xdr:col>
      <xdr:colOff>609598</xdr:colOff>
      <xdr:row>59</xdr:row>
      <xdr:rowOff>38099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21</xdr:row>
          <xdr:rowOff>19050</xdr:rowOff>
        </xdr:from>
        <xdr:to>
          <xdr:col>10</xdr:col>
          <xdr:colOff>590550</xdr:colOff>
          <xdr:row>31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029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Optimize!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32</xdr:row>
          <xdr:rowOff>0</xdr:rowOff>
        </xdr:from>
        <xdr:to>
          <xdr:col>10</xdr:col>
          <xdr:colOff>600075</xdr:colOff>
          <xdr:row>35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029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9524</xdr:colOff>
      <xdr:row>0</xdr:row>
      <xdr:rowOff>180975</xdr:rowOff>
    </xdr:from>
    <xdr:to>
      <xdr:col>31</xdr:col>
      <xdr:colOff>495299</xdr:colOff>
      <xdr:row>44</xdr:row>
      <xdr:rowOff>131319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U105"/>
  <sheetViews>
    <sheetView showGridLines="0" tabSelected="1" workbookViewId="0">
      <selection activeCell="D61" sqref="D61"/>
    </sheetView>
  </sheetViews>
  <sheetFormatPr defaultColWidth="9.140625" defaultRowHeight="11.25" x14ac:dyDescent="0.2"/>
  <cols>
    <col min="1" max="1" width="2.5703125" style="37" customWidth="1"/>
    <col min="2" max="2" width="15.42578125" style="37" customWidth="1"/>
    <col min="3" max="3" width="1.85546875" style="37" customWidth="1"/>
    <col min="4" max="4" width="7.85546875" style="37" customWidth="1"/>
    <col min="5" max="5" width="4.140625" style="37" customWidth="1"/>
    <col min="6" max="6" width="7.85546875" style="37" customWidth="1"/>
    <col min="7" max="16384" width="9.140625" style="37"/>
  </cols>
  <sheetData>
    <row r="1" spans="2:11" x14ac:dyDescent="0.2">
      <c r="B1" s="1" t="s">
        <v>135</v>
      </c>
      <c r="C1" s="1" t="s">
        <v>0</v>
      </c>
      <c r="D1" s="16">
        <v>0.1</v>
      </c>
      <c r="E1" s="2"/>
      <c r="F1" s="2"/>
      <c r="G1" s="2"/>
    </row>
    <row r="2" spans="2:11" x14ac:dyDescent="0.2">
      <c r="B2" s="2"/>
      <c r="C2" s="2"/>
      <c r="D2" s="2"/>
      <c r="E2" s="2"/>
      <c r="F2" s="2"/>
      <c r="G2" s="2"/>
    </row>
    <row r="3" spans="2:11" ht="12" thickBot="1" x14ac:dyDescent="0.25">
      <c r="B3" s="1" t="s">
        <v>1</v>
      </c>
      <c r="C3" s="2"/>
      <c r="D3" s="2"/>
      <c r="E3" s="2"/>
      <c r="F3" s="2"/>
      <c r="G3" s="2"/>
    </row>
    <row r="4" spans="2:11" ht="12" thickBot="1" x14ac:dyDescent="0.25">
      <c r="B4" s="3" t="s">
        <v>2</v>
      </c>
      <c r="C4" s="100" t="s">
        <v>0</v>
      </c>
      <c r="D4" s="111">
        <v>31</v>
      </c>
      <c r="E4" s="2" t="s">
        <v>3</v>
      </c>
      <c r="F4" s="4">
        <f>D4/2.54</f>
        <v>12.204724409448819</v>
      </c>
      <c r="G4" s="2" t="s">
        <v>4</v>
      </c>
      <c r="H4" s="29"/>
      <c r="I4" s="30" t="s">
        <v>30</v>
      </c>
      <c r="J4" s="30"/>
      <c r="K4" s="31"/>
    </row>
    <row r="5" spans="2:11" ht="12" thickBot="1" x14ac:dyDescent="0.25">
      <c r="B5" s="3" t="s">
        <v>5</v>
      </c>
      <c r="C5" s="100" t="s">
        <v>0</v>
      </c>
      <c r="D5" s="111">
        <v>28</v>
      </c>
      <c r="E5" s="2" t="s">
        <v>3</v>
      </c>
      <c r="F5" s="5">
        <f>D5/2.54</f>
        <v>11.023622047244094</v>
      </c>
      <c r="G5" s="2" t="s">
        <v>4</v>
      </c>
      <c r="H5" s="32" t="s">
        <v>11</v>
      </c>
      <c r="I5" s="155" t="str">
        <f>CONCATENATE('Panel Calculations'!B31," ",'Panel Calculations'!C31)</f>
        <v>Panel A (baffle)</v>
      </c>
      <c r="J5" s="155"/>
      <c r="K5" s="156"/>
    </row>
    <row r="6" spans="2:11" ht="12" thickBot="1" x14ac:dyDescent="0.25">
      <c r="B6" s="3" t="s">
        <v>6</v>
      </c>
      <c r="C6" s="100" t="s">
        <v>0</v>
      </c>
      <c r="D6" s="111">
        <v>13.2</v>
      </c>
      <c r="E6" s="2" t="s">
        <v>3</v>
      </c>
      <c r="F6" s="4">
        <f>D6/2.54</f>
        <v>5.1968503937007871</v>
      </c>
      <c r="G6" s="2" t="s">
        <v>4</v>
      </c>
      <c r="H6" s="33" t="s">
        <v>11</v>
      </c>
      <c r="I6" s="153" t="str">
        <f>CONCATENATE('Panel Calculations'!B37," ",'Panel Calculations'!C37)</f>
        <v>Panel B (top)</v>
      </c>
      <c r="J6" s="153"/>
      <c r="K6" s="154"/>
    </row>
    <row r="7" spans="2:11" ht="12" thickBot="1" x14ac:dyDescent="0.25">
      <c r="B7" s="3" t="s">
        <v>7</v>
      </c>
      <c r="C7" s="100" t="s">
        <v>0</v>
      </c>
      <c r="D7" s="111">
        <v>19</v>
      </c>
      <c r="E7" s="2" t="s">
        <v>3</v>
      </c>
      <c r="F7" s="4">
        <f>D7/2.54</f>
        <v>7.4803149606299213</v>
      </c>
      <c r="G7" s="2" t="s">
        <v>4</v>
      </c>
      <c r="H7" s="33" t="s">
        <v>11</v>
      </c>
      <c r="I7" s="153" t="str">
        <f>CONCATENATE('Panel Calculations'!B43," ",'Panel Calculations'!C43)</f>
        <v>Panel C (bottom)</v>
      </c>
      <c r="J7" s="153"/>
      <c r="K7" s="154"/>
    </row>
    <row r="8" spans="2:11" ht="12" thickBot="1" x14ac:dyDescent="0.25">
      <c r="B8" s="6" t="s">
        <v>8</v>
      </c>
      <c r="C8" s="101" t="s">
        <v>0</v>
      </c>
      <c r="D8" s="111">
        <v>2.5</v>
      </c>
      <c r="E8" s="2" t="s">
        <v>3</v>
      </c>
      <c r="F8" s="7">
        <f>D8/2.54</f>
        <v>0.98425196850393704</v>
      </c>
      <c r="G8" s="2" t="s">
        <v>4</v>
      </c>
      <c r="H8" s="33" t="s">
        <v>11</v>
      </c>
      <c r="I8" s="153" t="str">
        <f>CONCATENATE('Panel Calculations'!B49," ",'Panel Calculations'!C49)</f>
        <v>Panel D (back)</v>
      </c>
      <c r="J8" s="153"/>
      <c r="K8" s="154"/>
    </row>
    <row r="9" spans="2:11" x14ac:dyDescent="0.2">
      <c r="B9" s="2"/>
      <c r="C9" s="2"/>
      <c r="D9" s="112"/>
      <c r="E9" s="2"/>
      <c r="F9" s="2"/>
      <c r="G9" s="2"/>
      <c r="H9" s="33" t="s">
        <v>11</v>
      </c>
      <c r="I9" s="153" t="str">
        <f>CONCATENATE('Panel Calculations'!B55," ",'Panel Calculations'!C55)</f>
        <v>Panel E (1st inside)</v>
      </c>
      <c r="J9" s="153"/>
      <c r="K9" s="154"/>
    </row>
    <row r="10" spans="2:11" ht="12" thickBot="1" x14ac:dyDescent="0.25">
      <c r="B10" s="1" t="s">
        <v>34</v>
      </c>
      <c r="C10" s="2"/>
      <c r="D10" s="112"/>
      <c r="E10" s="2"/>
      <c r="F10" s="2"/>
      <c r="H10" s="33" t="s">
        <v>11</v>
      </c>
      <c r="I10" s="153" t="str">
        <f>CONCATENATE('Panel Calculations'!B61," ",'Panel Calculations'!C61)</f>
        <v>Panel F (2nd inside)</v>
      </c>
      <c r="J10" s="153"/>
      <c r="K10" s="154"/>
    </row>
    <row r="11" spans="2:11" ht="12" thickBot="1" x14ac:dyDescent="0.25">
      <c r="B11" s="70" t="s">
        <v>61</v>
      </c>
      <c r="C11" s="102" t="s">
        <v>0</v>
      </c>
      <c r="D11" s="97">
        <f>14*2.54</f>
        <v>35.56</v>
      </c>
      <c r="E11" s="37" t="s">
        <v>3</v>
      </c>
      <c r="F11" s="98">
        <f>D11/2.54</f>
        <v>14</v>
      </c>
      <c r="G11" s="8" t="s">
        <v>4</v>
      </c>
      <c r="H11" s="33" t="s">
        <v>11</v>
      </c>
      <c r="I11" s="150" t="str">
        <f>CONCATENATE('Panel Calculations'!B67," ",'Panel Calculations'!C67)</f>
        <v>Panel G (sides)</v>
      </c>
      <c r="J11" s="95"/>
      <c r="K11" s="96"/>
    </row>
    <row r="12" spans="2:11" ht="12" thickBot="1" x14ac:dyDescent="0.25">
      <c r="B12" s="70" t="s">
        <v>74</v>
      </c>
      <c r="C12" s="102" t="s">
        <v>0</v>
      </c>
      <c r="D12" s="97">
        <f>34*2.54</f>
        <v>86.36</v>
      </c>
      <c r="E12" s="37" t="s">
        <v>3</v>
      </c>
      <c r="F12" s="98">
        <f>D12/2.54</f>
        <v>34</v>
      </c>
      <c r="G12" s="8" t="s">
        <v>4</v>
      </c>
      <c r="H12" s="34" t="s">
        <v>11</v>
      </c>
      <c r="I12" s="151" t="str">
        <f>CONCATENATE('Panel Calculations'!B73," ",'Panel Calculations'!C73)</f>
        <v>Panel H (port separator)</v>
      </c>
      <c r="J12" s="151"/>
      <c r="K12" s="152"/>
    </row>
    <row r="13" spans="2:11" ht="12" thickBot="1" x14ac:dyDescent="0.25">
      <c r="B13" s="69" t="s">
        <v>76</v>
      </c>
      <c r="C13" s="103" t="s">
        <v>0</v>
      </c>
      <c r="D13" s="97">
        <f>14*2.54</f>
        <v>35.56</v>
      </c>
      <c r="E13" s="67" t="s">
        <v>3</v>
      </c>
      <c r="F13" s="7">
        <f>D13/2.54</f>
        <v>14</v>
      </c>
      <c r="G13" s="8" t="s">
        <v>4</v>
      </c>
    </row>
    <row r="14" spans="2:11" ht="12" thickBot="1" x14ac:dyDescent="0.25">
      <c r="D14" s="113"/>
      <c r="H14" s="106" t="s">
        <v>11</v>
      </c>
      <c r="I14" s="107" t="s">
        <v>75</v>
      </c>
      <c r="J14" s="108"/>
      <c r="K14" s="109"/>
    </row>
    <row r="15" spans="2:11" ht="12" thickBot="1" x14ac:dyDescent="0.25">
      <c r="B15" s="1" t="s">
        <v>37</v>
      </c>
      <c r="D15" s="113"/>
    </row>
    <row r="16" spans="2:11" ht="12" thickBot="1" x14ac:dyDescent="0.25">
      <c r="B16" s="69" t="s">
        <v>35</v>
      </c>
      <c r="C16" s="102" t="s">
        <v>0</v>
      </c>
      <c r="D16" s="104">
        <v>2</v>
      </c>
      <c r="E16" s="8" t="s">
        <v>3</v>
      </c>
      <c r="F16" s="68">
        <f>D16/2.54</f>
        <v>0.78740157480314954</v>
      </c>
      <c r="G16" s="8" t="s">
        <v>4</v>
      </c>
      <c r="H16" s="29"/>
      <c r="I16" s="30" t="s">
        <v>30</v>
      </c>
      <c r="J16" s="30"/>
      <c r="K16" s="31"/>
    </row>
    <row r="17" spans="2:11" ht="12" thickBot="1" x14ac:dyDescent="0.25">
      <c r="B17" s="70" t="s">
        <v>87</v>
      </c>
      <c r="C17" s="102" t="s">
        <v>0</v>
      </c>
      <c r="D17" s="104">
        <v>2</v>
      </c>
      <c r="E17" s="37" t="s">
        <v>3</v>
      </c>
      <c r="F17" s="68">
        <f>D17/2.54</f>
        <v>0.78740157480314954</v>
      </c>
      <c r="G17" s="8" t="s">
        <v>4</v>
      </c>
      <c r="H17" s="32" t="s">
        <v>11</v>
      </c>
      <c r="I17" s="36" t="s">
        <v>32</v>
      </c>
      <c r="J17" s="93"/>
      <c r="K17" s="94"/>
    </row>
    <row r="18" spans="2:11" ht="12" thickBot="1" x14ac:dyDescent="0.25">
      <c r="B18" s="70" t="s">
        <v>85</v>
      </c>
      <c r="C18" s="102" t="s">
        <v>0</v>
      </c>
      <c r="D18" s="104">
        <v>5</v>
      </c>
      <c r="E18" s="37" t="s">
        <v>3</v>
      </c>
      <c r="F18" s="68">
        <f>D18/2.54</f>
        <v>1.9685039370078741</v>
      </c>
      <c r="G18" s="8" t="s">
        <v>4</v>
      </c>
      <c r="H18" s="33" t="s">
        <v>11</v>
      </c>
      <c r="I18" s="86" t="s">
        <v>33</v>
      </c>
      <c r="J18" s="95"/>
      <c r="K18" s="96"/>
    </row>
    <row r="19" spans="2:11" ht="12" thickBot="1" x14ac:dyDescent="0.25">
      <c r="H19" s="33" t="s">
        <v>11</v>
      </c>
      <c r="I19" s="129" t="s">
        <v>127</v>
      </c>
      <c r="J19" s="95"/>
      <c r="K19" s="96"/>
    </row>
    <row r="20" spans="2:11" ht="12" thickBot="1" x14ac:dyDescent="0.25">
      <c r="B20" s="70" t="s">
        <v>36</v>
      </c>
      <c r="C20" s="102" t="s">
        <v>0</v>
      </c>
      <c r="D20" s="99">
        <f>D13-2*D50</f>
        <v>31.560000000000002</v>
      </c>
      <c r="E20" s="37" t="s">
        <v>3</v>
      </c>
      <c r="F20" s="68">
        <f>D20/2.54</f>
        <v>12.425196850393702</v>
      </c>
      <c r="G20" s="8" t="s">
        <v>4</v>
      </c>
      <c r="H20" s="34" t="s">
        <v>11</v>
      </c>
      <c r="I20" s="35" t="s">
        <v>9</v>
      </c>
      <c r="J20" s="91"/>
      <c r="K20" s="92"/>
    </row>
    <row r="23" spans="2:11" ht="12" thickBot="1" x14ac:dyDescent="0.25">
      <c r="B23" s="1" t="s">
        <v>38</v>
      </c>
      <c r="C23" s="2"/>
      <c r="D23" s="2"/>
      <c r="E23" s="2"/>
    </row>
    <row r="24" spans="2:11" ht="12" thickBot="1" x14ac:dyDescent="0.25">
      <c r="B24" s="41" t="s">
        <v>23</v>
      </c>
      <c r="C24" s="105" t="s">
        <v>0</v>
      </c>
      <c r="D24" s="127">
        <f>ROUND('Path Calculations'!P8,0)</f>
        <v>0</v>
      </c>
      <c r="E24" s="2" t="s">
        <v>19</v>
      </c>
    </row>
    <row r="25" spans="2:11" ht="12" thickBot="1" x14ac:dyDescent="0.25">
      <c r="B25" s="41" t="s">
        <v>29</v>
      </c>
      <c r="C25" s="105" t="s">
        <v>0</v>
      </c>
      <c r="D25" s="127">
        <f>ROUND('Path Calculations'!P63,0)</f>
        <v>575</v>
      </c>
      <c r="E25" s="2" t="s">
        <v>19</v>
      </c>
      <c r="F25" s="40"/>
      <c r="G25" s="8"/>
    </row>
    <row r="26" spans="2:11" ht="12" thickBot="1" x14ac:dyDescent="0.25">
      <c r="B26" s="41" t="s">
        <v>39</v>
      </c>
      <c r="C26" s="105" t="s">
        <v>0</v>
      </c>
      <c r="D26" s="127">
        <f>'Path Calculations'!E67</f>
        <v>934.45067963614429</v>
      </c>
      <c r="E26" s="2" t="s">
        <v>19</v>
      </c>
      <c r="F26" s="40"/>
      <c r="G26" s="8"/>
    </row>
    <row r="27" spans="2:11" ht="12" thickBot="1" x14ac:dyDescent="0.25">
      <c r="B27" s="41" t="s">
        <v>65</v>
      </c>
      <c r="C27" s="105" t="s">
        <v>0</v>
      </c>
      <c r="D27" s="128">
        <v>300</v>
      </c>
      <c r="E27" s="2" t="s">
        <v>19</v>
      </c>
      <c r="F27" s="40"/>
    </row>
    <row r="28" spans="2:11" ht="12" thickBot="1" x14ac:dyDescent="0.25">
      <c r="B28" s="41" t="s">
        <v>107</v>
      </c>
      <c r="C28" s="105" t="s">
        <v>0</v>
      </c>
      <c r="D28" s="127">
        <f>'Path Calculations'!P59</f>
        <v>300</v>
      </c>
      <c r="E28" s="2" t="s">
        <v>19</v>
      </c>
      <c r="F28" s="40"/>
      <c r="G28" s="113"/>
    </row>
    <row r="29" spans="2:11" ht="12" thickBot="1" x14ac:dyDescent="0.25">
      <c r="B29" s="41" t="s">
        <v>40</v>
      </c>
      <c r="C29" s="105" t="s">
        <v>0</v>
      </c>
      <c r="D29" s="42">
        <f>ROUND('Path Calculations'!O63,1)</f>
        <v>78.900000000000006</v>
      </c>
      <c r="E29" s="2" t="s">
        <v>3</v>
      </c>
      <c r="F29" s="40"/>
    </row>
    <row r="30" spans="2:11" ht="12" thickBot="1" x14ac:dyDescent="0.25">
      <c r="B30" s="41" t="s">
        <v>41</v>
      </c>
      <c r="C30" s="105" t="s">
        <v>0</v>
      </c>
      <c r="D30" s="42">
        <f>'Path Calculations'!G67</f>
        <v>49.191172440307525</v>
      </c>
      <c r="E30" s="2" t="s">
        <v>3</v>
      </c>
    </row>
    <row r="31" spans="2:11" ht="12" thickBot="1" x14ac:dyDescent="0.25">
      <c r="B31" s="41" t="s">
        <v>77</v>
      </c>
      <c r="C31" s="105" t="s">
        <v>0</v>
      </c>
      <c r="D31" s="42">
        <f>'Path Calculations'!G68</f>
        <v>3.4249785962964268</v>
      </c>
      <c r="E31" s="2" t="s">
        <v>3</v>
      </c>
    </row>
    <row r="32" spans="2:11" ht="12" thickBot="1" x14ac:dyDescent="0.25">
      <c r="B32" s="41" t="s">
        <v>125</v>
      </c>
      <c r="C32" s="105" t="s">
        <v>0</v>
      </c>
      <c r="D32" s="42">
        <f>'Path Calculations'!G69</f>
        <v>32.073735357847823</v>
      </c>
      <c r="E32" s="2" t="s">
        <v>3</v>
      </c>
    </row>
    <row r="33" spans="2:11" ht="12" thickBot="1" x14ac:dyDescent="0.25">
      <c r="F33" s="40"/>
      <c r="G33" s="8"/>
    </row>
    <row r="34" spans="2:11" ht="12" thickBot="1" x14ac:dyDescent="0.25">
      <c r="B34" s="41" t="s">
        <v>42</v>
      </c>
      <c r="C34" s="105" t="s">
        <v>0</v>
      </c>
      <c r="D34" s="42">
        <f>SUM(D29:D31)</f>
        <v>131.51615103660396</v>
      </c>
      <c r="E34" s="2" t="s">
        <v>3</v>
      </c>
    </row>
    <row r="37" spans="2:11" ht="12" thickBot="1" x14ac:dyDescent="0.25">
      <c r="B37" s="1" t="s">
        <v>55</v>
      </c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">
      <c r="B38" s="43" t="s">
        <v>43</v>
      </c>
      <c r="C38" s="44" t="s">
        <v>0</v>
      </c>
      <c r="D38" s="148">
        <f>D39-I54</f>
        <v>74.70314696016942</v>
      </c>
      <c r="E38" s="44" t="s">
        <v>44</v>
      </c>
      <c r="F38" s="46">
        <f>(D38*1000/2.54^3)/1728</f>
        <v>2.6381167379447672</v>
      </c>
      <c r="G38" s="45" t="s">
        <v>22</v>
      </c>
      <c r="H38" s="45"/>
      <c r="I38" s="45"/>
      <c r="J38" s="45"/>
      <c r="K38" s="47"/>
    </row>
    <row r="39" spans="2:11" x14ac:dyDescent="0.2">
      <c r="B39" s="48" t="s">
        <v>45</v>
      </c>
      <c r="C39" s="49" t="s">
        <v>0</v>
      </c>
      <c r="D39" s="149">
        <f>D11*D12*D13/1000</f>
        <v>109.203394496</v>
      </c>
      <c r="E39" s="63" t="s">
        <v>44</v>
      </c>
      <c r="F39" s="64">
        <f>D39*0.0353</f>
        <v>3.8548798257087999</v>
      </c>
      <c r="G39" s="49" t="s">
        <v>22</v>
      </c>
      <c r="H39" s="50"/>
      <c r="I39" s="50"/>
      <c r="J39" s="50"/>
      <c r="K39" s="51"/>
    </row>
    <row r="40" spans="2:11" x14ac:dyDescent="0.2">
      <c r="B40" s="48"/>
      <c r="C40" s="49"/>
      <c r="D40" s="65"/>
      <c r="E40" s="63"/>
      <c r="F40" s="64"/>
      <c r="G40" s="49"/>
      <c r="H40" s="50"/>
      <c r="I40" s="50"/>
      <c r="J40" s="50"/>
      <c r="K40" s="51"/>
    </row>
    <row r="41" spans="2:11" x14ac:dyDescent="0.2">
      <c r="B41" s="48" t="s">
        <v>62</v>
      </c>
      <c r="C41" s="49" t="s">
        <v>0</v>
      </c>
      <c r="D41" s="65"/>
      <c r="E41" s="63"/>
      <c r="F41" s="114">
        <v>13.168700163604557</v>
      </c>
      <c r="G41" s="110">
        <f>'Path Calculations'!S32</f>
        <v>1.3538114421862701E-4</v>
      </c>
      <c r="H41" s="50"/>
      <c r="I41" s="50"/>
      <c r="J41" s="50"/>
      <c r="K41" s="51"/>
    </row>
    <row r="42" spans="2:11" x14ac:dyDescent="0.2">
      <c r="B42" s="48"/>
      <c r="C42" s="49"/>
      <c r="D42" s="65"/>
      <c r="E42" s="63"/>
      <c r="F42" s="64"/>
      <c r="G42" s="49"/>
      <c r="H42" s="50"/>
      <c r="I42" s="50"/>
      <c r="J42" s="50"/>
      <c r="K42" s="51"/>
    </row>
    <row r="43" spans="2:11" x14ac:dyDescent="0.2">
      <c r="B43" s="48" t="s">
        <v>46</v>
      </c>
      <c r="C43" s="49"/>
      <c r="D43" s="52" t="s">
        <v>47</v>
      </c>
      <c r="E43" s="52" t="s">
        <v>11</v>
      </c>
      <c r="F43" s="52" t="s">
        <v>12</v>
      </c>
      <c r="G43" s="52" t="s">
        <v>79</v>
      </c>
      <c r="H43" s="52" t="s">
        <v>48</v>
      </c>
      <c r="I43" s="52" t="s">
        <v>49</v>
      </c>
      <c r="J43" s="49"/>
      <c r="K43" s="53"/>
    </row>
    <row r="44" spans="2:11" x14ac:dyDescent="0.2">
      <c r="B44" s="48" t="str">
        <f>I5</f>
        <v>Panel A (baffle)</v>
      </c>
      <c r="C44" s="50"/>
      <c r="D44" s="54">
        <f t="shared" ref="D44:D51" si="0">$D$16</f>
        <v>2</v>
      </c>
      <c r="E44" s="54">
        <f>D20</f>
        <v>31.560000000000002</v>
      </c>
      <c r="F44" s="66">
        <f>'Panel Calculations'!L32</f>
        <v>70.211150202976995</v>
      </c>
      <c r="G44" s="55"/>
      <c r="H44" s="55">
        <v>1</v>
      </c>
      <c r="I44" s="62">
        <f t="shared" ref="I44:I49" si="1">F44*E44*D44*H44/10^3</f>
        <v>4.4317278008119079</v>
      </c>
      <c r="J44" s="50"/>
      <c r="K44" s="51"/>
    </row>
    <row r="45" spans="2:11" x14ac:dyDescent="0.2">
      <c r="B45" s="48" t="str">
        <f>I6</f>
        <v>Panel B (top)</v>
      </c>
      <c r="C45" s="50"/>
      <c r="D45" s="54">
        <f t="shared" si="0"/>
        <v>2</v>
      </c>
      <c r="E45" s="54">
        <f>D20</f>
        <v>31.560000000000002</v>
      </c>
      <c r="F45" s="54">
        <f>'Panel Calculations'!L38</f>
        <v>35.56</v>
      </c>
      <c r="G45" s="55"/>
      <c r="H45" s="55">
        <v>1</v>
      </c>
      <c r="I45" s="62">
        <f t="shared" si="1"/>
        <v>2.2445472000000004</v>
      </c>
      <c r="J45" s="50"/>
      <c r="K45" s="51"/>
    </row>
    <row r="46" spans="2:11" x14ac:dyDescent="0.2">
      <c r="B46" s="48" t="str">
        <f>I7</f>
        <v>Panel C (bottom)</v>
      </c>
      <c r="C46" s="50"/>
      <c r="D46" s="54">
        <f t="shared" si="0"/>
        <v>2</v>
      </c>
      <c r="E46" s="54">
        <f>D20</f>
        <v>31.560000000000002</v>
      </c>
      <c r="F46" s="54">
        <f>'Panel Calculations'!L44</f>
        <v>35.56</v>
      </c>
      <c r="G46" s="55"/>
      <c r="H46" s="55">
        <v>1</v>
      </c>
      <c r="I46" s="62">
        <f t="shared" si="1"/>
        <v>2.2445472000000004</v>
      </c>
      <c r="J46" s="50"/>
      <c r="K46" s="51"/>
    </row>
    <row r="47" spans="2:11" x14ac:dyDescent="0.2">
      <c r="B47" s="48" t="str">
        <f>I8</f>
        <v>Panel D (back)</v>
      </c>
      <c r="C47" s="50"/>
      <c r="D47" s="54">
        <f t="shared" si="0"/>
        <v>2</v>
      </c>
      <c r="E47" s="54">
        <f>D20</f>
        <v>31.560000000000002</v>
      </c>
      <c r="F47" s="54">
        <f>'Panel Calculations'!L51</f>
        <v>82.36</v>
      </c>
      <c r="G47" s="55"/>
      <c r="H47" s="55">
        <v>1</v>
      </c>
      <c r="I47" s="62">
        <f t="shared" si="1"/>
        <v>5.1985632000000006</v>
      </c>
      <c r="J47" s="50"/>
      <c r="K47" s="51"/>
    </row>
    <row r="48" spans="2:11" x14ac:dyDescent="0.2">
      <c r="B48" s="48" t="str">
        <f>I9</f>
        <v>Panel E (1st inside)</v>
      </c>
      <c r="C48" s="50"/>
      <c r="D48" s="54">
        <f t="shared" si="0"/>
        <v>2</v>
      </c>
      <c r="E48" s="54">
        <f>D20</f>
        <v>31.560000000000002</v>
      </c>
      <c r="F48" s="115">
        <v>47.724574421013855</v>
      </c>
      <c r="G48" s="110">
        <f>'Path Calculations'!S23</f>
        <v>6.8585222834371962E-8</v>
      </c>
      <c r="H48" s="55">
        <v>1</v>
      </c>
      <c r="I48" s="62">
        <f t="shared" si="1"/>
        <v>3.012375137454395</v>
      </c>
      <c r="J48" s="50"/>
      <c r="K48" s="51"/>
    </row>
    <row r="49" spans="2:11" x14ac:dyDescent="0.2">
      <c r="B49" s="48" t="str">
        <f>I10</f>
        <v>Panel F (2nd inside)</v>
      </c>
      <c r="C49" s="50"/>
      <c r="D49" s="54">
        <f t="shared" si="0"/>
        <v>2</v>
      </c>
      <c r="E49" s="54">
        <f>D20</f>
        <v>31.560000000000002</v>
      </c>
      <c r="F49" s="54">
        <f>'Panel Calculations'!L62</f>
        <v>23.411150202976998</v>
      </c>
      <c r="G49" s="55"/>
      <c r="H49" s="55">
        <v>1</v>
      </c>
      <c r="I49" s="62">
        <f t="shared" si="1"/>
        <v>1.4777118008119083</v>
      </c>
      <c r="J49" s="50"/>
      <c r="K49" s="51"/>
    </row>
    <row r="50" spans="2:11" x14ac:dyDescent="0.2">
      <c r="B50" s="48" t="str">
        <f>I11</f>
        <v>Panel G (sides)</v>
      </c>
      <c r="C50" s="50"/>
      <c r="D50" s="54">
        <f t="shared" si="0"/>
        <v>2</v>
      </c>
      <c r="E50" s="54">
        <f>'Panel Calculations'!L68</f>
        <v>35.56</v>
      </c>
      <c r="F50" s="54">
        <f>'Panel Calculations'!L71</f>
        <v>86.36</v>
      </c>
      <c r="G50" s="50"/>
      <c r="H50" s="55">
        <v>2</v>
      </c>
      <c r="I50" s="62">
        <f t="shared" ref="I50" si="2">F50*E50*D50*H50/10^3</f>
        <v>12.2838464</v>
      </c>
      <c r="J50" s="50"/>
      <c r="K50" s="51"/>
    </row>
    <row r="51" spans="2:11" x14ac:dyDescent="0.2">
      <c r="B51" s="48" t="str">
        <f>I12</f>
        <v>Panel H (port separator)</v>
      </c>
      <c r="C51" s="50"/>
      <c r="D51" s="115">
        <v>2</v>
      </c>
      <c r="E51" s="54">
        <f>'Panel Calculations'!L74</f>
        <v>33.56</v>
      </c>
      <c r="F51" s="54">
        <f>'Panel Calculations'!L75</f>
        <v>10.148849797023002</v>
      </c>
      <c r="G51" s="50"/>
      <c r="H51" s="55">
        <v>2</v>
      </c>
      <c r="I51" s="62">
        <f t="shared" ref="I51" si="3">F51*E51*D51*H51/10^3</f>
        <v>1.3623815967523678</v>
      </c>
      <c r="J51" s="50"/>
      <c r="K51" s="51"/>
    </row>
    <row r="52" spans="2:11" x14ac:dyDescent="0.2">
      <c r="B52" s="48" t="s">
        <v>87</v>
      </c>
      <c r="C52" s="50"/>
      <c r="D52" s="54">
        <f>D17</f>
        <v>2</v>
      </c>
      <c r="E52" s="54">
        <f>D20</f>
        <v>31.560000000000002</v>
      </c>
      <c r="F52" s="54">
        <f>F45</f>
        <v>35.56</v>
      </c>
      <c r="G52" s="50"/>
      <c r="H52" s="55">
        <v>1</v>
      </c>
      <c r="I52" s="62">
        <f t="shared" ref="I52" si="4">F52*E52*D52*H52/10^3</f>
        <v>2.2445472000000004</v>
      </c>
      <c r="J52" s="50"/>
      <c r="K52" s="51"/>
    </row>
    <row r="53" spans="2:11" x14ac:dyDescent="0.2">
      <c r="B53" s="56"/>
      <c r="C53" s="50"/>
      <c r="D53" s="50"/>
      <c r="E53" s="50"/>
      <c r="F53" s="50"/>
      <c r="G53" s="50"/>
      <c r="H53" s="50"/>
      <c r="I53" s="50"/>
      <c r="J53" s="50"/>
      <c r="K53" s="51"/>
    </row>
    <row r="54" spans="2:11" ht="12" thickBot="1" x14ac:dyDescent="0.25">
      <c r="B54" s="57"/>
      <c r="C54" s="58"/>
      <c r="D54" s="59"/>
      <c r="E54" s="60"/>
      <c r="F54" s="58"/>
      <c r="G54" s="58"/>
      <c r="H54" s="60" t="s">
        <v>51</v>
      </c>
      <c r="I54" s="59">
        <f>SUM(I44:I53)</f>
        <v>34.500247535830582</v>
      </c>
      <c r="J54" s="60" t="s">
        <v>52</v>
      </c>
      <c r="K54" s="61"/>
    </row>
    <row r="57" spans="2:11" x14ac:dyDescent="0.2">
      <c r="B57" s="39" t="s">
        <v>57</v>
      </c>
    </row>
    <row r="58" spans="2:11" x14ac:dyDescent="0.2">
      <c r="B58" s="37" t="s">
        <v>58</v>
      </c>
      <c r="C58" s="37" t="s">
        <v>0</v>
      </c>
      <c r="D58" s="38">
        <f>D38</f>
        <v>74.70314696016942</v>
      </c>
      <c r="E58" s="37" t="s">
        <v>44</v>
      </c>
      <c r="F58" s="40">
        <f>D58*0.0353</f>
        <v>2.6370210876939804</v>
      </c>
      <c r="G58" s="37" t="s">
        <v>22</v>
      </c>
      <c r="I58" s="37" t="s">
        <v>14</v>
      </c>
      <c r="J58" s="37" t="s">
        <v>11</v>
      </c>
      <c r="K58" s="37" t="s">
        <v>12</v>
      </c>
    </row>
    <row r="59" spans="2:11" x14ac:dyDescent="0.2">
      <c r="B59" s="37" t="s">
        <v>59</v>
      </c>
      <c r="C59" s="37" t="s">
        <v>0</v>
      </c>
      <c r="D59" s="37">
        <f>D27</f>
        <v>300</v>
      </c>
      <c r="E59" s="37" t="s">
        <v>19</v>
      </c>
      <c r="F59" s="40">
        <f>D59/2.54^2</f>
        <v>46.500093000185998</v>
      </c>
      <c r="G59" s="8" t="s">
        <v>56</v>
      </c>
      <c r="I59" s="37" t="s">
        <v>15</v>
      </c>
      <c r="J59" s="38">
        <v>0</v>
      </c>
      <c r="K59" s="38">
        <v>0</v>
      </c>
    </row>
    <row r="60" spans="2:11" x14ac:dyDescent="0.2">
      <c r="B60" s="37" t="s">
        <v>60</v>
      </c>
      <c r="C60" s="37" t="s">
        <v>0</v>
      </c>
      <c r="D60" s="38">
        <f>D32+D31/2</f>
        <v>33.786224655996037</v>
      </c>
      <c r="E60" s="37" t="s">
        <v>3</v>
      </c>
      <c r="F60" s="40">
        <f>D60/2.54</f>
        <v>13.30166325039214</v>
      </c>
      <c r="G60" s="8" t="s">
        <v>4</v>
      </c>
      <c r="J60" s="38">
        <f>J59</f>
        <v>0</v>
      </c>
      <c r="K60" s="38">
        <f>MAX('Panel Calculations'!D3:E65)</f>
        <v>86.36</v>
      </c>
    </row>
    <row r="61" spans="2:11" x14ac:dyDescent="0.2">
      <c r="B61" s="37" t="s">
        <v>78</v>
      </c>
      <c r="C61" s="37" t="s">
        <v>0</v>
      </c>
      <c r="D61" s="38">
        <f>2*(D59/PI())^0.5</f>
        <v>19.544100476116796</v>
      </c>
      <c r="E61" s="37" t="s">
        <v>3</v>
      </c>
      <c r="F61" s="40">
        <f>D61/2.54</f>
        <v>7.6945277465026756</v>
      </c>
      <c r="G61" s="8" t="s">
        <v>4</v>
      </c>
      <c r="I61" s="37" t="s">
        <v>16</v>
      </c>
      <c r="J61" s="38">
        <v>0</v>
      </c>
      <c r="K61" s="38">
        <v>0</v>
      </c>
    </row>
    <row r="62" spans="2:11" x14ac:dyDescent="0.2">
      <c r="B62" s="37" t="s">
        <v>84</v>
      </c>
      <c r="C62" s="37" t="s">
        <v>0</v>
      </c>
      <c r="D62" s="38">
        <f>D20/(D59/D20)</f>
        <v>3.3201120000000004</v>
      </c>
      <c r="J62" s="37">
        <f>K60</f>
        <v>86.36</v>
      </c>
      <c r="K62" s="38">
        <f>K61</f>
        <v>0</v>
      </c>
    </row>
    <row r="63" spans="2:11" x14ac:dyDescent="0.2">
      <c r="B63" s="37" t="s">
        <v>133</v>
      </c>
      <c r="C63" s="37" t="s">
        <v>0</v>
      </c>
      <c r="D63" s="38">
        <f>D89/D59</f>
        <v>1.7696666666666665</v>
      </c>
    </row>
    <row r="66" spans="2:18" x14ac:dyDescent="0.2">
      <c r="B66" s="123" t="s">
        <v>94</v>
      </c>
      <c r="C66" s="124" t="s">
        <v>0</v>
      </c>
      <c r="D66" s="157" t="s">
        <v>95</v>
      </c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9"/>
    </row>
    <row r="67" spans="2:18" x14ac:dyDescent="0.2">
      <c r="B67" s="2"/>
      <c r="C67" s="2"/>
      <c r="D67" s="2"/>
      <c r="E67" s="2"/>
      <c r="F67" s="2"/>
      <c r="G67" s="2"/>
      <c r="H67" s="2"/>
      <c r="I67" s="125"/>
      <c r="J67" s="125"/>
      <c r="K67" s="2"/>
      <c r="L67" s="2"/>
      <c r="M67" s="2"/>
      <c r="N67" s="2"/>
      <c r="O67" s="2"/>
      <c r="P67" s="2"/>
      <c r="Q67" s="2"/>
      <c r="R67" s="2"/>
    </row>
    <row r="68" spans="2:18" x14ac:dyDescent="0.2">
      <c r="B68" s="123" t="s">
        <v>96</v>
      </c>
      <c r="C68" s="124" t="s">
        <v>0</v>
      </c>
      <c r="D68" s="160" t="s">
        <v>97</v>
      </c>
      <c r="E68" s="161"/>
      <c r="F68" s="161"/>
      <c r="G68" s="161"/>
      <c r="H68" s="162"/>
      <c r="I68" s="125"/>
      <c r="J68" s="126" t="str">
        <f>CONCATENATE(B68,C68,D68)</f>
        <v>ID=29.00</v>
      </c>
      <c r="K68" s="2"/>
      <c r="L68" s="2"/>
      <c r="M68" s="2"/>
      <c r="N68" s="2"/>
      <c r="O68" s="2"/>
      <c r="P68" s="2"/>
      <c r="Q68" s="2"/>
      <c r="R68" s="2"/>
    </row>
    <row r="69" spans="2:18" x14ac:dyDescent="0.2">
      <c r="B69" s="123" t="s">
        <v>98</v>
      </c>
      <c r="C69" s="124" t="s">
        <v>0</v>
      </c>
      <c r="D69" s="160" t="s">
        <v>99</v>
      </c>
      <c r="E69" s="161"/>
      <c r="F69" s="161"/>
      <c r="G69" s="161"/>
      <c r="H69" s="162"/>
      <c r="I69" s="125"/>
      <c r="J69" s="126" t="str">
        <f t="shared" ref="J69:J105" si="5">CONCATENATE(B69,C69,D69)</f>
        <v>Ang=2.0 x PI</v>
      </c>
      <c r="K69" s="2"/>
      <c r="L69" s="2"/>
      <c r="M69" s="2"/>
      <c r="N69" s="2"/>
      <c r="O69" s="2"/>
      <c r="P69" s="2"/>
      <c r="Q69" s="2"/>
      <c r="R69" s="2"/>
    </row>
    <row r="70" spans="2:18" x14ac:dyDescent="0.2">
      <c r="B70" s="123" t="s">
        <v>100</v>
      </c>
      <c r="C70" s="124" t="s">
        <v>0</v>
      </c>
      <c r="D70" s="163">
        <v>2.83</v>
      </c>
      <c r="E70" s="164"/>
      <c r="F70" s="164"/>
      <c r="G70" s="164"/>
      <c r="H70" s="165"/>
      <c r="I70" s="125"/>
      <c r="J70" s="126" t="str">
        <f t="shared" si="5"/>
        <v>Eg=2.83</v>
      </c>
      <c r="K70" s="2"/>
      <c r="L70" s="2"/>
      <c r="M70" s="2"/>
      <c r="N70" s="2"/>
      <c r="O70" s="2"/>
      <c r="P70" s="2"/>
      <c r="Q70" s="2"/>
      <c r="R70" s="2"/>
    </row>
    <row r="71" spans="2:18" x14ac:dyDescent="0.2">
      <c r="B71" s="123" t="s">
        <v>101</v>
      </c>
      <c r="C71" s="124" t="s">
        <v>0</v>
      </c>
      <c r="D71" s="163">
        <v>0</v>
      </c>
      <c r="E71" s="164"/>
      <c r="F71" s="164"/>
      <c r="G71" s="164"/>
      <c r="H71" s="165"/>
      <c r="I71" s="2"/>
      <c r="J71" s="126" t="str">
        <f t="shared" si="5"/>
        <v>Rg=0</v>
      </c>
      <c r="K71" s="2"/>
      <c r="L71" s="2"/>
      <c r="M71" s="2"/>
      <c r="N71" s="2"/>
      <c r="O71" s="2"/>
      <c r="P71" s="2"/>
      <c r="Q71" s="2"/>
      <c r="R71" s="2"/>
    </row>
    <row r="72" spans="2:18" x14ac:dyDescent="0.2">
      <c r="B72" s="123" t="s">
        <v>102</v>
      </c>
      <c r="C72" s="124" t="s">
        <v>0</v>
      </c>
      <c r="D72" s="166">
        <v>0</v>
      </c>
      <c r="E72" s="167"/>
      <c r="F72" s="167"/>
      <c r="G72" s="167"/>
      <c r="H72" s="168"/>
      <c r="I72" s="2"/>
      <c r="J72" s="126" t="str">
        <f t="shared" si="5"/>
        <v>Fta=0</v>
      </c>
      <c r="K72" s="2"/>
      <c r="L72" s="2"/>
      <c r="M72" s="2"/>
      <c r="N72" s="2"/>
      <c r="O72" s="2"/>
      <c r="P72" s="2"/>
      <c r="Q72" s="2"/>
      <c r="R72" s="2"/>
    </row>
    <row r="73" spans="2:18" x14ac:dyDescent="0.2">
      <c r="B73" s="123" t="s">
        <v>23</v>
      </c>
      <c r="C73" s="124" t="s">
        <v>0</v>
      </c>
      <c r="D73" s="169">
        <f>D24</f>
        <v>0</v>
      </c>
      <c r="E73" s="167"/>
      <c r="F73" s="167"/>
      <c r="G73" s="167"/>
      <c r="H73" s="168"/>
      <c r="I73" s="2"/>
      <c r="J73" s="126" t="str">
        <f t="shared" si="5"/>
        <v>S1=0</v>
      </c>
      <c r="K73" s="2"/>
      <c r="L73" s="2"/>
      <c r="M73" s="2"/>
      <c r="N73" s="2"/>
      <c r="O73" s="2"/>
      <c r="P73" s="2"/>
      <c r="Q73" s="2"/>
      <c r="R73" s="2"/>
    </row>
    <row r="74" spans="2:18" x14ac:dyDescent="0.2">
      <c r="B74" s="123" t="s">
        <v>29</v>
      </c>
      <c r="C74" s="124" t="s">
        <v>0</v>
      </c>
      <c r="D74" s="170">
        <f>ROUND(D25,0)</f>
        <v>575</v>
      </c>
      <c r="E74" s="167"/>
      <c r="F74" s="167"/>
      <c r="G74" s="167"/>
      <c r="H74" s="168"/>
      <c r="I74" s="2"/>
      <c r="J74" s="126" t="str">
        <f t="shared" si="5"/>
        <v>S2=575</v>
      </c>
      <c r="K74" s="2"/>
      <c r="L74" s="2"/>
      <c r="M74" s="2"/>
      <c r="N74" s="2"/>
      <c r="O74" s="2"/>
      <c r="P74" s="2"/>
      <c r="Q74" s="2"/>
      <c r="R74" s="2"/>
    </row>
    <row r="75" spans="2:18" x14ac:dyDescent="0.2">
      <c r="B75" s="123" t="s">
        <v>103</v>
      </c>
      <c r="C75" s="124" t="s">
        <v>0</v>
      </c>
      <c r="D75" s="169">
        <f>ROUND(D29,1)</f>
        <v>78.900000000000006</v>
      </c>
      <c r="E75" s="167"/>
      <c r="F75" s="167"/>
      <c r="G75" s="167"/>
      <c r="H75" s="168"/>
      <c r="I75" s="2"/>
      <c r="J75" s="126" t="str">
        <f t="shared" si="5"/>
        <v>Par=78.9</v>
      </c>
      <c r="K75" s="2"/>
      <c r="L75" s="2"/>
      <c r="M75" s="2"/>
      <c r="N75" s="2"/>
      <c r="O75" s="2"/>
      <c r="P75" s="2"/>
      <c r="Q75" s="2"/>
      <c r="R75" s="2"/>
    </row>
    <row r="76" spans="2:18" x14ac:dyDescent="0.2">
      <c r="B76" s="123" t="s">
        <v>104</v>
      </c>
      <c r="C76" s="124" t="s">
        <v>0</v>
      </c>
      <c r="D76" s="166">
        <v>0</v>
      </c>
      <c r="E76" s="167"/>
      <c r="F76" s="167"/>
      <c r="G76" s="167"/>
      <c r="H76" s="168"/>
      <c r="I76" s="2"/>
      <c r="J76" s="126" t="str">
        <f t="shared" si="5"/>
        <v>F12=0</v>
      </c>
      <c r="K76" s="2"/>
      <c r="L76" s="2"/>
      <c r="M76" s="2"/>
      <c r="N76" s="2"/>
      <c r="O76" s="2"/>
      <c r="P76" s="2"/>
      <c r="Q76" s="2"/>
      <c r="R76" s="2"/>
    </row>
    <row r="77" spans="2:18" x14ac:dyDescent="0.2">
      <c r="B77" s="123" t="s">
        <v>29</v>
      </c>
      <c r="C77" s="124" t="s">
        <v>0</v>
      </c>
      <c r="D77" s="166">
        <f>D74</f>
        <v>575</v>
      </c>
      <c r="E77" s="167"/>
      <c r="F77" s="167"/>
      <c r="G77" s="167"/>
      <c r="H77" s="168"/>
      <c r="I77" s="2"/>
      <c r="J77" s="126" t="str">
        <f t="shared" si="5"/>
        <v>S2=575</v>
      </c>
      <c r="K77" s="2"/>
      <c r="L77" s="2"/>
      <c r="M77" s="2"/>
      <c r="N77" s="2"/>
      <c r="O77" s="2"/>
      <c r="P77" s="2"/>
      <c r="Q77" s="2"/>
      <c r="R77" s="2"/>
    </row>
    <row r="78" spans="2:18" x14ac:dyDescent="0.2">
      <c r="B78" s="123" t="s">
        <v>39</v>
      </c>
      <c r="C78" s="124" t="s">
        <v>0</v>
      </c>
      <c r="D78" s="170">
        <f>ROUND(D26,0)</f>
        <v>934</v>
      </c>
      <c r="E78" s="167"/>
      <c r="F78" s="167"/>
      <c r="G78" s="167"/>
      <c r="H78" s="168"/>
      <c r="I78" s="2"/>
      <c r="J78" s="126" t="str">
        <f t="shared" si="5"/>
        <v>S3=934</v>
      </c>
      <c r="K78" s="2"/>
      <c r="L78" s="2"/>
      <c r="M78" s="2"/>
      <c r="N78" s="2"/>
      <c r="O78" s="2"/>
      <c r="P78" s="2"/>
      <c r="Q78" s="2"/>
      <c r="R78" s="2"/>
    </row>
    <row r="79" spans="2:18" x14ac:dyDescent="0.2">
      <c r="B79" s="123" t="s">
        <v>103</v>
      </c>
      <c r="C79" s="124" t="s">
        <v>0</v>
      </c>
      <c r="D79" s="169">
        <f>ROUND(D30,1)</f>
        <v>49.2</v>
      </c>
      <c r="E79" s="167"/>
      <c r="F79" s="167"/>
      <c r="G79" s="167"/>
      <c r="H79" s="168"/>
      <c r="I79" s="2"/>
      <c r="J79" s="126" t="str">
        <f t="shared" si="5"/>
        <v>Par=49.2</v>
      </c>
      <c r="K79" s="2"/>
      <c r="L79" s="2"/>
      <c r="M79" s="2"/>
      <c r="N79" s="2"/>
      <c r="O79" s="2"/>
      <c r="P79" s="2"/>
      <c r="Q79" s="2"/>
      <c r="R79" s="2"/>
    </row>
    <row r="80" spans="2:18" x14ac:dyDescent="0.2">
      <c r="B80" s="123" t="s">
        <v>105</v>
      </c>
      <c r="C80" s="124" t="s">
        <v>0</v>
      </c>
      <c r="D80" s="166">
        <v>0</v>
      </c>
      <c r="E80" s="167"/>
      <c r="F80" s="167"/>
      <c r="G80" s="167"/>
      <c r="H80" s="168"/>
      <c r="I80" s="2"/>
      <c r="J80" s="126" t="str">
        <f t="shared" si="5"/>
        <v>F23=0</v>
      </c>
      <c r="K80" s="2"/>
      <c r="L80" s="2"/>
      <c r="M80" s="2"/>
      <c r="N80" s="2"/>
      <c r="O80" s="2"/>
      <c r="P80" s="2"/>
      <c r="Q80" s="2"/>
      <c r="R80" s="2"/>
    </row>
    <row r="81" spans="2:21" x14ac:dyDescent="0.2">
      <c r="B81" s="123" t="s">
        <v>39</v>
      </c>
      <c r="C81" s="124" t="s">
        <v>0</v>
      </c>
      <c r="D81" s="166">
        <f>D78</f>
        <v>934</v>
      </c>
      <c r="E81" s="167"/>
      <c r="F81" s="167"/>
      <c r="G81" s="167"/>
      <c r="H81" s="168"/>
      <c r="I81" s="2"/>
      <c r="J81" s="126" t="str">
        <f t="shared" si="5"/>
        <v>S3=934</v>
      </c>
      <c r="K81" s="2"/>
      <c r="L81" s="2"/>
      <c r="M81" s="2"/>
      <c r="N81" s="2"/>
      <c r="O81" s="2"/>
      <c r="P81" s="2"/>
      <c r="Q81" s="2"/>
      <c r="R81" s="2"/>
      <c r="U81" s="38"/>
    </row>
    <row r="82" spans="2:21" x14ac:dyDescent="0.2">
      <c r="B82" s="123" t="s">
        <v>65</v>
      </c>
      <c r="C82" s="124" t="s">
        <v>0</v>
      </c>
      <c r="D82" s="170">
        <f>ROUND(D27,0)</f>
        <v>300</v>
      </c>
      <c r="E82" s="167"/>
      <c r="F82" s="167"/>
      <c r="G82" s="167"/>
      <c r="H82" s="168"/>
      <c r="I82" s="2"/>
      <c r="J82" s="126" t="str">
        <f t="shared" si="5"/>
        <v>S4=300</v>
      </c>
      <c r="K82" s="2"/>
      <c r="L82" s="2"/>
      <c r="M82" s="2"/>
      <c r="N82" s="2"/>
      <c r="O82" s="2"/>
      <c r="P82" s="2"/>
      <c r="Q82" s="2"/>
      <c r="R82" s="2"/>
      <c r="U82" s="38"/>
    </row>
    <row r="83" spans="2:21" x14ac:dyDescent="0.2">
      <c r="B83" s="123" t="s">
        <v>103</v>
      </c>
      <c r="C83" s="124" t="s">
        <v>0</v>
      </c>
      <c r="D83" s="169">
        <f>ROUND(D31,1)</f>
        <v>3.4</v>
      </c>
      <c r="E83" s="167"/>
      <c r="F83" s="167"/>
      <c r="G83" s="167"/>
      <c r="H83" s="168"/>
      <c r="I83" s="2"/>
      <c r="J83" s="126" t="str">
        <f t="shared" si="5"/>
        <v>Par=3.4</v>
      </c>
      <c r="K83" s="2"/>
      <c r="L83" s="2"/>
      <c r="M83" s="2"/>
      <c r="N83" s="2"/>
      <c r="O83" s="2"/>
      <c r="P83" s="2"/>
      <c r="Q83" s="2"/>
      <c r="R83" s="2"/>
    </row>
    <row r="84" spans="2:21" x14ac:dyDescent="0.2">
      <c r="B84" s="123" t="s">
        <v>106</v>
      </c>
      <c r="C84" s="124" t="s">
        <v>0</v>
      </c>
      <c r="D84" s="166">
        <v>0</v>
      </c>
      <c r="E84" s="167"/>
      <c r="F84" s="167"/>
      <c r="G84" s="167"/>
      <c r="H84" s="168"/>
      <c r="I84" s="2"/>
      <c r="J84" s="126" t="str">
        <f t="shared" si="5"/>
        <v>F34=0</v>
      </c>
      <c r="K84" s="2"/>
      <c r="L84" s="2"/>
      <c r="M84" s="2"/>
      <c r="N84" s="2"/>
      <c r="O84" s="2"/>
      <c r="P84" s="2"/>
      <c r="Q84" s="2"/>
      <c r="R84" s="2"/>
    </row>
    <row r="85" spans="2:21" x14ac:dyDescent="0.2">
      <c r="B85" s="123" t="s">
        <v>65</v>
      </c>
      <c r="C85" s="124" t="s">
        <v>0</v>
      </c>
      <c r="D85" s="170">
        <f>D82</f>
        <v>300</v>
      </c>
      <c r="E85" s="167"/>
      <c r="F85" s="167"/>
      <c r="G85" s="167"/>
      <c r="H85" s="168"/>
      <c r="I85" s="2"/>
      <c r="J85" s="126" t="str">
        <f t="shared" si="5"/>
        <v>S4=300</v>
      </c>
      <c r="K85" s="2"/>
      <c r="L85" s="2"/>
      <c r="M85" s="2"/>
      <c r="N85" s="2"/>
      <c r="O85" s="2"/>
      <c r="P85" s="2"/>
      <c r="Q85" s="2"/>
      <c r="R85" s="2"/>
    </row>
    <row r="86" spans="2:21" x14ac:dyDescent="0.2">
      <c r="B86" s="123" t="s">
        <v>107</v>
      </c>
      <c r="C86" s="124" t="s">
        <v>0</v>
      </c>
      <c r="D86" s="170">
        <f>ROUND(D28,0)</f>
        <v>300</v>
      </c>
      <c r="E86" s="167"/>
      <c r="F86" s="167"/>
      <c r="G86" s="167"/>
      <c r="H86" s="168"/>
      <c r="I86" s="2"/>
      <c r="J86" s="126" t="str">
        <f t="shared" si="5"/>
        <v>S5=300</v>
      </c>
      <c r="K86" s="2"/>
      <c r="L86" s="2"/>
      <c r="M86" s="2"/>
      <c r="N86" s="2"/>
      <c r="O86" s="2"/>
      <c r="P86" s="2"/>
      <c r="Q86" s="2"/>
      <c r="R86" s="2"/>
    </row>
    <row r="87" spans="2:21" x14ac:dyDescent="0.2">
      <c r="B87" s="123" t="s">
        <v>103</v>
      </c>
      <c r="C87" s="124" t="s">
        <v>0</v>
      </c>
      <c r="D87" s="169">
        <f>ROUND(D32,1)</f>
        <v>32.1</v>
      </c>
      <c r="E87" s="167"/>
      <c r="F87" s="167"/>
      <c r="G87" s="167"/>
      <c r="H87" s="168"/>
      <c r="I87" s="2"/>
      <c r="J87" s="126" t="str">
        <f t="shared" si="5"/>
        <v>Par=32.1</v>
      </c>
      <c r="K87" s="2"/>
      <c r="L87" s="2"/>
      <c r="M87" s="2"/>
      <c r="N87" s="2"/>
      <c r="O87" s="2"/>
      <c r="P87" s="2"/>
      <c r="Q87" s="2"/>
      <c r="R87" s="2"/>
    </row>
    <row r="88" spans="2:21" x14ac:dyDescent="0.2">
      <c r="B88" s="123" t="s">
        <v>108</v>
      </c>
      <c r="C88" s="124" t="s">
        <v>0</v>
      </c>
      <c r="D88" s="166">
        <v>0</v>
      </c>
      <c r="E88" s="167"/>
      <c r="F88" s="167"/>
      <c r="G88" s="167"/>
      <c r="H88" s="168"/>
      <c r="I88" s="2"/>
      <c r="J88" s="126" t="str">
        <f t="shared" si="5"/>
        <v>F45=0</v>
      </c>
      <c r="K88" s="2"/>
      <c r="L88" s="2"/>
      <c r="M88" s="2"/>
      <c r="N88" s="2"/>
      <c r="O88" s="2"/>
      <c r="P88" s="2"/>
      <c r="Q88" s="2"/>
      <c r="R88" s="2"/>
    </row>
    <row r="89" spans="2:21" x14ac:dyDescent="0.2">
      <c r="B89" s="123" t="s">
        <v>109</v>
      </c>
      <c r="C89" s="124" t="s">
        <v>0</v>
      </c>
      <c r="D89" s="171">
        <v>530.9</v>
      </c>
      <c r="E89" s="158"/>
      <c r="F89" s="158"/>
      <c r="G89" s="158"/>
      <c r="H89" s="159"/>
      <c r="I89" s="2"/>
      <c r="J89" s="126" t="str">
        <f t="shared" si="5"/>
        <v>Sd=530.9</v>
      </c>
      <c r="K89" s="2"/>
      <c r="L89" s="2"/>
      <c r="M89" s="2"/>
      <c r="N89" s="2"/>
      <c r="O89" s="2"/>
      <c r="P89" s="2"/>
      <c r="Q89" s="2"/>
      <c r="R89" s="2"/>
    </row>
    <row r="90" spans="2:21" x14ac:dyDescent="0.2">
      <c r="B90" s="123" t="s">
        <v>110</v>
      </c>
      <c r="C90" s="124" t="s">
        <v>0</v>
      </c>
      <c r="D90" s="172">
        <v>16.649999999999999</v>
      </c>
      <c r="E90" s="158"/>
      <c r="F90" s="158"/>
      <c r="G90" s="158"/>
      <c r="H90" s="159"/>
      <c r="I90" s="2"/>
      <c r="J90" s="126" t="str">
        <f t="shared" si="5"/>
        <v>Bl=16.65</v>
      </c>
      <c r="K90" s="2"/>
      <c r="L90" s="2"/>
      <c r="M90" s="2"/>
      <c r="N90" s="2"/>
      <c r="O90" s="2"/>
      <c r="P90" s="2"/>
      <c r="Q90" s="2"/>
      <c r="R90" s="2"/>
    </row>
    <row r="91" spans="2:21" x14ac:dyDescent="0.2">
      <c r="B91" s="123" t="s">
        <v>111</v>
      </c>
      <c r="C91" s="124" t="s">
        <v>0</v>
      </c>
      <c r="D91" s="172">
        <v>2.4699999999999999E-4</v>
      </c>
      <c r="E91" s="173"/>
      <c r="F91" s="173"/>
      <c r="G91" s="173"/>
      <c r="H91" s="174"/>
      <c r="I91" s="2"/>
      <c r="J91" s="126" t="str">
        <f t="shared" si="5"/>
        <v>Cms=0.000247</v>
      </c>
      <c r="K91" s="2"/>
      <c r="L91" s="2"/>
      <c r="M91" s="2"/>
      <c r="N91" s="2"/>
      <c r="O91" s="2"/>
      <c r="P91" s="2"/>
      <c r="Q91" s="2"/>
      <c r="R91" s="2"/>
    </row>
    <row r="92" spans="2:21" x14ac:dyDescent="0.2">
      <c r="B92" s="123" t="s">
        <v>112</v>
      </c>
      <c r="C92" s="124" t="s">
        <v>0</v>
      </c>
      <c r="D92" s="171">
        <v>2.2000000000000002</v>
      </c>
      <c r="E92" s="158"/>
      <c r="F92" s="158"/>
      <c r="G92" s="158"/>
      <c r="H92" s="159"/>
      <c r="I92" s="2"/>
      <c r="J92" s="126" t="str">
        <f t="shared" si="5"/>
        <v>Rms=2.2</v>
      </c>
      <c r="K92" s="2"/>
      <c r="L92" s="2"/>
      <c r="M92" s="2"/>
      <c r="N92" s="2"/>
      <c r="O92" s="2"/>
      <c r="P92" s="2"/>
      <c r="Q92" s="2"/>
      <c r="R92" s="2"/>
    </row>
    <row r="93" spans="2:21" x14ac:dyDescent="0.2">
      <c r="B93" s="123" t="s">
        <v>113</v>
      </c>
      <c r="C93" s="124" t="s">
        <v>0</v>
      </c>
      <c r="D93" s="171">
        <v>60.38</v>
      </c>
      <c r="E93" s="158"/>
      <c r="F93" s="158"/>
      <c r="G93" s="158"/>
      <c r="H93" s="159"/>
      <c r="I93" s="2"/>
      <c r="J93" s="126" t="str">
        <f t="shared" si="5"/>
        <v>Mmd=60.38</v>
      </c>
      <c r="K93" s="2"/>
      <c r="L93" s="2"/>
      <c r="M93" s="2"/>
      <c r="N93" s="2"/>
      <c r="O93" s="2"/>
      <c r="P93" s="2"/>
      <c r="Q93" s="2"/>
      <c r="R93" s="2"/>
    </row>
    <row r="94" spans="2:21" x14ac:dyDescent="0.2">
      <c r="B94" s="123" t="s">
        <v>114</v>
      </c>
      <c r="C94" s="124" t="s">
        <v>0</v>
      </c>
      <c r="D94" s="171">
        <v>1.4</v>
      </c>
      <c r="E94" s="158"/>
      <c r="F94" s="158"/>
      <c r="G94" s="158"/>
      <c r="H94" s="159"/>
      <c r="I94" s="2"/>
      <c r="J94" s="126" t="str">
        <f t="shared" si="5"/>
        <v>Le=1.4</v>
      </c>
      <c r="K94" s="2"/>
      <c r="L94" s="2"/>
      <c r="M94" s="2"/>
      <c r="N94" s="2"/>
      <c r="O94" s="2"/>
      <c r="P94" s="2"/>
      <c r="Q94" s="2"/>
      <c r="R94" s="2"/>
    </row>
    <row r="95" spans="2:21" x14ac:dyDescent="0.2">
      <c r="B95" s="123" t="s">
        <v>115</v>
      </c>
      <c r="C95" s="124" t="s">
        <v>0</v>
      </c>
      <c r="D95" s="171">
        <v>5.2</v>
      </c>
      <c r="E95" s="158"/>
      <c r="F95" s="158"/>
      <c r="G95" s="158"/>
      <c r="H95" s="159"/>
      <c r="I95" s="2"/>
      <c r="J95" s="126" t="str">
        <f t="shared" si="5"/>
        <v>Re=5.2</v>
      </c>
      <c r="K95" s="2"/>
      <c r="L95" s="2"/>
      <c r="M95" s="2"/>
      <c r="N95" s="2"/>
      <c r="O95" s="2"/>
      <c r="P95" s="2"/>
      <c r="Q95" s="2"/>
      <c r="R95" s="2"/>
    </row>
    <row r="96" spans="2:21" x14ac:dyDescent="0.2">
      <c r="B96" s="123" t="s">
        <v>126</v>
      </c>
      <c r="C96" s="124" t="s">
        <v>0</v>
      </c>
      <c r="D96" s="166">
        <v>1</v>
      </c>
      <c r="E96" s="167"/>
      <c r="F96" s="167"/>
      <c r="G96" s="167"/>
      <c r="H96" s="168"/>
      <c r="I96" s="2"/>
      <c r="J96" s="126" t="str">
        <f t="shared" si="5"/>
        <v>OD=1</v>
      </c>
      <c r="K96" s="2"/>
      <c r="L96" s="2"/>
      <c r="M96" s="2"/>
      <c r="N96" s="2"/>
      <c r="O96" s="2"/>
      <c r="P96" s="2"/>
      <c r="Q96" s="2"/>
      <c r="R96" s="2"/>
    </row>
    <row r="97" spans="2:18" x14ac:dyDescent="0.2">
      <c r="B97" s="123" t="s">
        <v>116</v>
      </c>
      <c r="C97" s="124" t="s">
        <v>0</v>
      </c>
      <c r="D97" s="166">
        <v>0</v>
      </c>
      <c r="E97" s="167"/>
      <c r="F97" s="167"/>
      <c r="G97" s="167"/>
      <c r="H97" s="168"/>
      <c r="I97" s="2"/>
      <c r="J97" s="126" t="str">
        <f t="shared" si="5"/>
        <v>Vrc=0</v>
      </c>
      <c r="K97" s="2"/>
      <c r="L97" s="2"/>
      <c r="M97" s="2"/>
      <c r="N97" s="2"/>
      <c r="O97" s="2"/>
      <c r="P97" s="2"/>
      <c r="Q97" s="2"/>
      <c r="R97" s="2"/>
    </row>
    <row r="98" spans="2:18" x14ac:dyDescent="0.2">
      <c r="B98" s="123" t="s">
        <v>117</v>
      </c>
      <c r="C98" s="124" t="s">
        <v>0</v>
      </c>
      <c r="D98" s="166">
        <v>0</v>
      </c>
      <c r="E98" s="167"/>
      <c r="F98" s="167"/>
      <c r="G98" s="167"/>
      <c r="H98" s="168"/>
      <c r="I98" s="2"/>
      <c r="J98" s="126" t="str">
        <f t="shared" si="5"/>
        <v>Lrc=0</v>
      </c>
      <c r="K98" s="2"/>
      <c r="L98" s="2"/>
      <c r="M98" s="2"/>
      <c r="N98" s="2"/>
      <c r="O98" s="2"/>
      <c r="P98" s="2"/>
      <c r="Q98" s="2"/>
      <c r="R98" s="2"/>
    </row>
    <row r="99" spans="2:18" x14ac:dyDescent="0.2">
      <c r="B99" s="123" t="s">
        <v>118</v>
      </c>
      <c r="C99" s="124" t="s">
        <v>0</v>
      </c>
      <c r="D99" s="170">
        <v>0</v>
      </c>
      <c r="E99" s="175"/>
      <c r="F99" s="175"/>
      <c r="G99" s="175"/>
      <c r="H99" s="176"/>
      <c r="I99" s="2"/>
      <c r="J99" s="126" t="str">
        <f t="shared" si="5"/>
        <v>Ap1=0</v>
      </c>
      <c r="K99" s="2"/>
      <c r="L99" s="2"/>
      <c r="M99" s="2"/>
      <c r="N99" s="2"/>
      <c r="O99" s="2"/>
      <c r="P99" s="2"/>
      <c r="Q99" s="2"/>
      <c r="R99" s="2"/>
    </row>
    <row r="100" spans="2:18" x14ac:dyDescent="0.2">
      <c r="B100" s="123" t="s">
        <v>119</v>
      </c>
      <c r="C100" s="124" t="s">
        <v>0</v>
      </c>
      <c r="D100" s="169">
        <v>0</v>
      </c>
      <c r="E100" s="167"/>
      <c r="F100" s="167"/>
      <c r="G100" s="167"/>
      <c r="H100" s="168"/>
      <c r="I100" s="2"/>
      <c r="J100" s="126" t="str">
        <f t="shared" si="5"/>
        <v>Lp=0</v>
      </c>
      <c r="K100" s="2"/>
      <c r="L100" s="2"/>
      <c r="M100" s="2"/>
      <c r="N100" s="2"/>
      <c r="O100" s="2"/>
      <c r="P100" s="2"/>
      <c r="Q100" s="2"/>
      <c r="R100" s="2"/>
    </row>
    <row r="101" spans="2:18" x14ac:dyDescent="0.2">
      <c r="B101" s="123" t="s">
        <v>120</v>
      </c>
      <c r="C101" s="124" t="s">
        <v>0</v>
      </c>
      <c r="D101" s="166">
        <v>0</v>
      </c>
      <c r="E101" s="167"/>
      <c r="F101" s="167"/>
      <c r="G101" s="167"/>
      <c r="H101" s="168"/>
      <c r="I101" s="2"/>
      <c r="J101" s="126" t="str">
        <f t="shared" si="5"/>
        <v>Vtc=0</v>
      </c>
      <c r="K101" s="2"/>
      <c r="L101" s="2"/>
      <c r="M101" s="2"/>
      <c r="N101" s="2"/>
      <c r="O101" s="2"/>
      <c r="P101" s="2"/>
      <c r="Q101" s="2"/>
      <c r="R101" s="2"/>
    </row>
    <row r="102" spans="2:18" x14ac:dyDescent="0.2">
      <c r="B102" s="123" t="s">
        <v>121</v>
      </c>
      <c r="C102" s="124" t="s">
        <v>0</v>
      </c>
      <c r="D102" s="166">
        <v>0</v>
      </c>
      <c r="E102" s="167"/>
      <c r="F102" s="167"/>
      <c r="G102" s="167"/>
      <c r="H102" s="168"/>
      <c r="I102" s="2"/>
      <c r="J102" s="126" t="str">
        <f t="shared" si="5"/>
        <v>Atc=0</v>
      </c>
      <c r="K102" s="2"/>
      <c r="L102" s="2"/>
      <c r="M102" s="2"/>
      <c r="N102" s="2"/>
      <c r="O102" s="2"/>
      <c r="P102" s="2"/>
      <c r="Q102" s="2"/>
      <c r="R102" s="2"/>
    </row>
    <row r="103" spans="2:18" x14ac:dyDescent="0.2">
      <c r="B103" s="123" t="s">
        <v>122</v>
      </c>
      <c r="C103" s="124" t="s">
        <v>0</v>
      </c>
      <c r="D103" s="171">
        <v>350</v>
      </c>
      <c r="E103" s="158"/>
      <c r="F103" s="158"/>
      <c r="G103" s="158"/>
      <c r="H103" s="159"/>
      <c r="I103" s="2"/>
      <c r="J103" s="126" t="str">
        <f t="shared" si="5"/>
        <v>Pmax=350</v>
      </c>
      <c r="K103" s="2"/>
      <c r="L103" s="2"/>
      <c r="M103" s="2"/>
      <c r="N103" s="2"/>
      <c r="O103" s="2"/>
      <c r="P103" s="2"/>
      <c r="Q103" s="2"/>
      <c r="R103" s="2"/>
    </row>
    <row r="104" spans="2:18" x14ac:dyDescent="0.2">
      <c r="B104" s="123" t="s">
        <v>123</v>
      </c>
      <c r="C104" s="124" t="s">
        <v>0</v>
      </c>
      <c r="D104" s="171">
        <v>12</v>
      </c>
      <c r="E104" s="158"/>
      <c r="F104" s="158"/>
      <c r="G104" s="158"/>
      <c r="H104" s="159"/>
      <c r="I104" s="2"/>
      <c r="J104" s="126" t="str">
        <f t="shared" si="5"/>
        <v>Xmax=12</v>
      </c>
      <c r="K104" s="2"/>
      <c r="L104" s="2"/>
      <c r="M104" s="2"/>
      <c r="N104" s="2"/>
      <c r="O104" s="2"/>
      <c r="P104" s="2"/>
      <c r="Q104" s="2"/>
      <c r="R104" s="2"/>
    </row>
    <row r="105" spans="2:18" x14ac:dyDescent="0.2">
      <c r="B105" s="123" t="s">
        <v>124</v>
      </c>
      <c r="C105" s="124" t="s">
        <v>0</v>
      </c>
      <c r="D105" s="171" t="s">
        <v>137</v>
      </c>
      <c r="E105" s="158"/>
      <c r="F105" s="158"/>
      <c r="G105" s="158"/>
      <c r="H105" s="159"/>
      <c r="I105" s="2"/>
      <c r="J105" s="126" t="str">
        <f t="shared" si="5"/>
        <v>Comment=BOXPLAN-TQWT</v>
      </c>
      <c r="K105" s="2"/>
      <c r="L105" s="2"/>
      <c r="M105" s="2"/>
      <c r="N105" s="2"/>
      <c r="O105" s="2"/>
      <c r="P105" s="2"/>
      <c r="Q105" s="2"/>
      <c r="R105" s="2"/>
    </row>
  </sheetData>
  <sheetProtection sheet="1" objects="1" scenarios="1"/>
  <protectedRanges>
    <protectedRange sqref="D4:D8" name="Range1"/>
    <protectedRange sqref="H14 H17:H20 H5:H12" name="Range4"/>
    <protectedRange sqref="D24 D29:D32" name="Range2"/>
    <protectedRange sqref="K44:K52" name="Range5"/>
    <protectedRange sqref="D13" name="Range2_3"/>
  </protectedRanges>
  <dataConsolidate/>
  <mergeCells count="46">
    <mergeCell ref="D102:H102"/>
    <mergeCell ref="D103:H103"/>
    <mergeCell ref="D104:H104"/>
    <mergeCell ref="D105:H105"/>
    <mergeCell ref="D97:H97"/>
    <mergeCell ref="D98:H98"/>
    <mergeCell ref="D99:H99"/>
    <mergeCell ref="D100:H100"/>
    <mergeCell ref="D101:H101"/>
    <mergeCell ref="D92:H92"/>
    <mergeCell ref="D93:H93"/>
    <mergeCell ref="D94:H94"/>
    <mergeCell ref="D95:H95"/>
    <mergeCell ref="D96:H96"/>
    <mergeCell ref="D87:H87"/>
    <mergeCell ref="D88:H88"/>
    <mergeCell ref="D89:H89"/>
    <mergeCell ref="D90:H90"/>
    <mergeCell ref="D91:H91"/>
    <mergeCell ref="D82:H82"/>
    <mergeCell ref="D83:H83"/>
    <mergeCell ref="D84:H84"/>
    <mergeCell ref="D85:H85"/>
    <mergeCell ref="D86:H86"/>
    <mergeCell ref="D77:H77"/>
    <mergeCell ref="D78:H78"/>
    <mergeCell ref="D79:H79"/>
    <mergeCell ref="D80:H80"/>
    <mergeCell ref="D81:H81"/>
    <mergeCell ref="D72:H72"/>
    <mergeCell ref="D73:H73"/>
    <mergeCell ref="D74:H74"/>
    <mergeCell ref="D75:H75"/>
    <mergeCell ref="D76:H76"/>
    <mergeCell ref="D66:R66"/>
    <mergeCell ref="D68:H68"/>
    <mergeCell ref="D69:H69"/>
    <mergeCell ref="D70:H70"/>
    <mergeCell ref="D71:H71"/>
    <mergeCell ref="I12:K12"/>
    <mergeCell ref="I10:K10"/>
    <mergeCell ref="I7:K7"/>
    <mergeCell ref="I5:K5"/>
    <mergeCell ref="I6:K6"/>
    <mergeCell ref="I8:K8"/>
    <mergeCell ref="I9:K9"/>
  </mergeCells>
  <pageMargins left="0.7" right="0.7" top="0.75" bottom="0.75" header="0.3" footer="0.3"/>
  <pageSetup scale="48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>
                  <from>
                    <xdr:col>6</xdr:col>
                    <xdr:colOff>600075</xdr:colOff>
                    <xdr:row>21</xdr:row>
                    <xdr:rowOff>19050</xdr:rowOff>
                  </from>
                  <to>
                    <xdr:col>10</xdr:col>
                    <xdr:colOff>590550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2">
                <anchor moveWithCells="1">
                  <from>
                    <xdr:col>6</xdr:col>
                    <xdr:colOff>600075</xdr:colOff>
                    <xdr:row>32</xdr:row>
                    <xdr:rowOff>0</xdr:rowOff>
                  </from>
                  <to>
                    <xdr:col>10</xdr:col>
                    <xdr:colOff>600075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R121"/>
  <sheetViews>
    <sheetView workbookViewId="0">
      <selection activeCell="B38" sqref="B38"/>
    </sheetView>
  </sheetViews>
  <sheetFormatPr defaultColWidth="9.140625" defaultRowHeight="11.25" x14ac:dyDescent="0.2"/>
  <cols>
    <col min="1" max="1" width="9.140625" style="37"/>
    <col min="2" max="3" width="12.42578125" style="37" customWidth="1"/>
    <col min="4" max="16384" width="9.140625" style="37"/>
  </cols>
  <sheetData>
    <row r="2" spans="2:16" x14ac:dyDescent="0.2">
      <c r="B2" s="37" t="s">
        <v>10</v>
      </c>
      <c r="D2" s="37" t="s">
        <v>11</v>
      </c>
      <c r="E2" s="37" t="s">
        <v>12</v>
      </c>
    </row>
    <row r="3" spans="2:16" x14ac:dyDescent="0.2">
      <c r="D3" s="37">
        <v>0</v>
      </c>
      <c r="E3" s="37">
        <v>0</v>
      </c>
    </row>
    <row r="4" spans="2:16" x14ac:dyDescent="0.2">
      <c r="M4" s="37" t="s">
        <v>14</v>
      </c>
      <c r="O4" s="38">
        <v>0</v>
      </c>
      <c r="P4" s="38">
        <v>0</v>
      </c>
    </row>
    <row r="5" spans="2:16" x14ac:dyDescent="0.2">
      <c r="B5" s="37" t="s">
        <v>9</v>
      </c>
      <c r="D5" s="37" t="s">
        <v>11</v>
      </c>
      <c r="E5" s="37" t="s">
        <v>12</v>
      </c>
      <c r="O5" s="38">
        <v>0</v>
      </c>
      <c r="P5" s="38">
        <f>MAX(D2:E124)</f>
        <v>86.36</v>
      </c>
    </row>
    <row r="6" spans="2:16" x14ac:dyDescent="0.2">
      <c r="D6" s="38">
        <f>D31</f>
        <v>2</v>
      </c>
      <c r="E6" s="38">
        <f>E37-Information!D4-Information!D18</f>
        <v>48.36</v>
      </c>
      <c r="G6" s="38">
        <f>IF(Information!$H$20="x",'Panel Calculations'!D6,"")</f>
        <v>2</v>
      </c>
      <c r="H6" s="38">
        <f>IF(Information!$H$20="x",'Panel Calculations'!E6,"")</f>
        <v>48.36</v>
      </c>
      <c r="O6" s="38"/>
      <c r="P6" s="38"/>
    </row>
    <row r="7" spans="2:16" x14ac:dyDescent="0.2">
      <c r="D7" s="38">
        <f>D6</f>
        <v>2</v>
      </c>
      <c r="E7" s="38">
        <f>E6+Information!D4</f>
        <v>79.36</v>
      </c>
      <c r="G7" s="38">
        <f>IF(Information!$H$20="x",'Panel Calculations'!D7,"")</f>
        <v>2</v>
      </c>
      <c r="H7" s="38">
        <f>IF(Information!$H$20="x",'Panel Calculations'!E7,"")</f>
        <v>79.36</v>
      </c>
      <c r="O7" s="38">
        <f>O4</f>
        <v>0</v>
      </c>
      <c r="P7" s="38">
        <f>P4</f>
        <v>0</v>
      </c>
    </row>
    <row r="8" spans="2:16" x14ac:dyDescent="0.2">
      <c r="D8" s="38">
        <f>D7</f>
        <v>2</v>
      </c>
      <c r="E8" s="38">
        <f>E7-(Information!D4-Information!D5)/2</f>
        <v>77.86</v>
      </c>
      <c r="G8" s="38">
        <f>IF(Information!$H$20="x",'Panel Calculations'!D8,"")</f>
        <v>2</v>
      </c>
      <c r="H8" s="38">
        <f>IF(Information!$H$20="x",'Panel Calculations'!E8,"")</f>
        <v>77.86</v>
      </c>
      <c r="O8" s="38">
        <f>P5</f>
        <v>86.36</v>
      </c>
      <c r="P8" s="38">
        <f>P4</f>
        <v>0</v>
      </c>
    </row>
    <row r="9" spans="2:16" x14ac:dyDescent="0.2">
      <c r="D9" s="38">
        <f>D8+Information!D6-Information!D8</f>
        <v>12.7</v>
      </c>
      <c r="E9" s="38">
        <f>E8-(Information!D5-Information!D7)/2</f>
        <v>73.36</v>
      </c>
      <c r="G9" s="38">
        <f>IF(Information!$H$20="x",'Panel Calculations'!D9,"")</f>
        <v>12.7</v>
      </c>
      <c r="H9" s="38">
        <f>IF(Information!$H$20="x",'Panel Calculations'!E9,"")</f>
        <v>73.36</v>
      </c>
    </row>
    <row r="10" spans="2:16" x14ac:dyDescent="0.2">
      <c r="D10" s="38">
        <f>D9+Information!D8</f>
        <v>15.2</v>
      </c>
      <c r="E10" s="38">
        <f>E9</f>
        <v>73.36</v>
      </c>
      <c r="G10" s="38">
        <f>IF(Information!$H$20="x",'Panel Calculations'!D10,"")</f>
        <v>15.2</v>
      </c>
      <c r="H10" s="38">
        <f>IF(Information!$H$20="x",'Panel Calculations'!E10,"")</f>
        <v>73.36</v>
      </c>
    </row>
    <row r="11" spans="2:16" x14ac:dyDescent="0.2">
      <c r="D11" s="38">
        <f>D10</f>
        <v>15.2</v>
      </c>
      <c r="E11" s="38">
        <f>E10-Information!D7</f>
        <v>54.36</v>
      </c>
      <c r="G11" s="38">
        <f>IF(Information!$H$20="x",'Panel Calculations'!D11,"")</f>
        <v>15.2</v>
      </c>
      <c r="H11" s="38">
        <f>IF(Information!$H$20="x",'Panel Calculations'!E11,"")</f>
        <v>54.36</v>
      </c>
    </row>
    <row r="12" spans="2:16" x14ac:dyDescent="0.2">
      <c r="D12" s="38">
        <f>D9</f>
        <v>12.7</v>
      </c>
      <c r="E12" s="38">
        <f>E11</f>
        <v>54.36</v>
      </c>
      <c r="G12" s="38">
        <f>IF(Information!$H$20="x",'Panel Calculations'!D12,"")</f>
        <v>12.7</v>
      </c>
      <c r="H12" s="38">
        <f>IF(Information!$H$20="x",'Panel Calculations'!E12,"")</f>
        <v>54.36</v>
      </c>
    </row>
    <row r="13" spans="2:16" x14ac:dyDescent="0.2">
      <c r="D13" s="38">
        <f>D8</f>
        <v>2</v>
      </c>
      <c r="E13" s="38">
        <f>E6+(Information!D4-Information!D5)/2</f>
        <v>49.86</v>
      </c>
      <c r="G13" s="38">
        <f>IF(Information!$H$20="x",'Panel Calculations'!D13,"")</f>
        <v>2</v>
      </c>
      <c r="H13" s="38">
        <f>IF(Information!$H$20="x",'Panel Calculations'!E13,"")</f>
        <v>49.86</v>
      </c>
    </row>
    <row r="14" spans="2:16" x14ac:dyDescent="0.2">
      <c r="D14" s="38">
        <f>D13</f>
        <v>2</v>
      </c>
      <c r="E14" s="38">
        <f>E6+Information!D4/2</f>
        <v>63.86</v>
      </c>
      <c r="G14" s="38">
        <f>IF(Information!$H$20="x",'Panel Calculations'!D14,"")</f>
        <v>2</v>
      </c>
      <c r="H14" s="38">
        <f>IF(Information!$H$20="x",'Panel Calculations'!E14,"")</f>
        <v>63.86</v>
      </c>
    </row>
    <row r="15" spans="2:16" x14ac:dyDescent="0.2">
      <c r="D15" s="38">
        <f>D12</f>
        <v>12.7</v>
      </c>
      <c r="E15" s="38">
        <f>E14</f>
        <v>63.86</v>
      </c>
      <c r="G15" s="38">
        <f>IF(Information!$H$20="x",'Panel Calculations'!D15,"")</f>
        <v>12.7</v>
      </c>
      <c r="H15" s="38">
        <f>IF(Information!$H$20="x",'Panel Calculations'!E15,"")</f>
        <v>63.86</v>
      </c>
    </row>
    <row r="16" spans="2:16" x14ac:dyDescent="0.2">
      <c r="D16" s="38">
        <f>D15</f>
        <v>12.7</v>
      </c>
      <c r="E16" s="38">
        <f>E12</f>
        <v>54.36</v>
      </c>
      <c r="G16" s="38">
        <f>IF(Information!$H$20="x",'Panel Calculations'!D16,"")</f>
        <v>12.7</v>
      </c>
      <c r="H16" s="38">
        <f>IF(Information!$H$20="x",'Panel Calculations'!E16,"")</f>
        <v>54.36</v>
      </c>
    </row>
    <row r="17" spans="2:18" x14ac:dyDescent="0.2">
      <c r="D17" s="38">
        <f>D16</f>
        <v>12.7</v>
      </c>
      <c r="E17" s="38">
        <f>E10</f>
        <v>73.36</v>
      </c>
      <c r="G17" s="38">
        <f>IF(Information!$H$20="x",'Panel Calculations'!D17,"")</f>
        <v>12.7</v>
      </c>
      <c r="H17" s="38">
        <f>IF(Information!$H$20="x",'Panel Calculations'!E17,"")</f>
        <v>73.36</v>
      </c>
    </row>
    <row r="18" spans="2:18" x14ac:dyDescent="0.2">
      <c r="D18" s="38"/>
      <c r="E18" s="38"/>
    </row>
    <row r="21" spans="2:18" x14ac:dyDescent="0.2">
      <c r="O21" s="87" t="s">
        <v>62</v>
      </c>
      <c r="P21" s="118" t="s">
        <v>63</v>
      </c>
      <c r="Q21" s="118" t="s">
        <v>64</v>
      </c>
      <c r="R21" s="118" t="s">
        <v>81</v>
      </c>
    </row>
    <row r="22" spans="2:18" x14ac:dyDescent="0.2">
      <c r="O22" s="116">
        <f>Information!F41</f>
        <v>13.168700163604557</v>
      </c>
      <c r="P22" s="117">
        <f>COS(O22*PI()/180)</f>
        <v>0.97370350229643865</v>
      </c>
      <c r="Q22" s="117">
        <f>SIN(O22*PI()/180)</f>
        <v>0.22781898431792147</v>
      </c>
      <c r="R22" s="117">
        <f>TAN(O22*PI()/180)</f>
        <v>0.23397161844506054</v>
      </c>
    </row>
    <row r="23" spans="2:18" x14ac:dyDescent="0.2">
      <c r="O23" s="116">
        <f>O22/2</f>
        <v>6.5843500818022784</v>
      </c>
      <c r="P23" s="117">
        <f>COS(O23*PI()/(180*2))</f>
        <v>0.99834966889760923</v>
      </c>
      <c r="Q23" s="117">
        <f>SIN(O23*PI()/(180*2))</f>
        <v>5.7427681583308902E-2</v>
      </c>
      <c r="R23" s="117">
        <f>TAN(O23*PI()/(180*2))</f>
        <v>5.7522612940535449E-2</v>
      </c>
    </row>
    <row r="24" spans="2:18" x14ac:dyDescent="0.2">
      <c r="J24" s="27" t="s">
        <v>53</v>
      </c>
      <c r="K24" s="27" t="s">
        <v>54</v>
      </c>
      <c r="L24" s="27"/>
    </row>
    <row r="25" spans="2:18" x14ac:dyDescent="0.2">
      <c r="B25" s="71"/>
      <c r="C25" s="73"/>
      <c r="D25" s="72"/>
      <c r="E25" s="72"/>
      <c r="F25" s="73"/>
      <c r="G25" s="72"/>
      <c r="H25" s="72"/>
      <c r="I25" s="73"/>
      <c r="J25" s="74"/>
      <c r="K25" s="74"/>
      <c r="L25" s="75"/>
    </row>
    <row r="26" spans="2:18" x14ac:dyDescent="0.2">
      <c r="B26" s="76"/>
      <c r="C26" s="78"/>
      <c r="D26" s="77"/>
      <c r="E26" s="77"/>
      <c r="F26" s="78"/>
      <c r="G26" s="77"/>
      <c r="H26" s="77"/>
      <c r="I26" s="78"/>
      <c r="J26" s="79"/>
      <c r="K26" s="79"/>
      <c r="L26" s="80"/>
    </row>
    <row r="27" spans="2:18" x14ac:dyDescent="0.2">
      <c r="B27" s="76"/>
      <c r="C27" s="78"/>
      <c r="D27" s="77"/>
      <c r="E27" s="77"/>
      <c r="F27" s="78"/>
      <c r="G27" s="77"/>
      <c r="H27" s="77"/>
      <c r="I27" s="78"/>
      <c r="J27" s="79"/>
      <c r="K27" s="79"/>
      <c r="L27" s="80"/>
    </row>
    <row r="28" spans="2:18" x14ac:dyDescent="0.2">
      <c r="B28" s="76"/>
      <c r="C28" s="78"/>
      <c r="D28" s="77"/>
      <c r="E28" s="77"/>
      <c r="F28" s="78"/>
      <c r="G28" s="77"/>
      <c r="H28" s="77"/>
      <c r="I28" s="78"/>
      <c r="J28" s="79"/>
      <c r="K28" s="79"/>
      <c r="L28" s="80"/>
    </row>
    <row r="29" spans="2:18" x14ac:dyDescent="0.2">
      <c r="B29" s="81"/>
      <c r="C29" s="83"/>
      <c r="D29" s="82"/>
      <c r="E29" s="82"/>
      <c r="F29" s="83"/>
      <c r="G29" s="82"/>
      <c r="H29" s="82"/>
      <c r="I29" s="83"/>
      <c r="J29" s="84"/>
      <c r="K29" s="84"/>
      <c r="L29" s="85"/>
    </row>
    <row r="30" spans="2:18" x14ac:dyDescent="0.2">
      <c r="D30" s="38"/>
      <c r="E30" s="38"/>
    </row>
    <row r="31" spans="2:18" x14ac:dyDescent="0.2">
      <c r="B31" s="71" t="s">
        <v>13</v>
      </c>
      <c r="C31" s="73" t="s">
        <v>88</v>
      </c>
      <c r="D31" s="72">
        <f>D64+Information!D17</f>
        <v>2</v>
      </c>
      <c r="E31" s="72">
        <f>E63</f>
        <v>14.148849797023002</v>
      </c>
      <c r="F31" s="73"/>
      <c r="G31" s="72">
        <f>IF(Information!$H$5="x",'Panel Calculations'!D31,0)</f>
        <v>2</v>
      </c>
      <c r="H31" s="72">
        <f>IF(Information!$H$5="x",'Panel Calculations'!E31,0)</f>
        <v>14.148849797023002</v>
      </c>
      <c r="I31" s="73"/>
      <c r="J31" s="74"/>
      <c r="K31" s="74"/>
      <c r="L31" s="75"/>
    </row>
    <row r="32" spans="2:18" x14ac:dyDescent="0.2">
      <c r="B32" s="76"/>
      <c r="C32" s="78"/>
      <c r="D32" s="77">
        <f>D31</f>
        <v>2</v>
      </c>
      <c r="E32" s="77">
        <f>E37</f>
        <v>84.36</v>
      </c>
      <c r="F32" s="78"/>
      <c r="G32" s="77">
        <f>IF(Information!$H$5="x",'Panel Calculations'!D32,0)</f>
        <v>2</v>
      </c>
      <c r="H32" s="77">
        <f>IF(Information!$H$5="x",'Panel Calculations'!E32,0)</f>
        <v>84.36</v>
      </c>
      <c r="I32" s="78"/>
      <c r="J32" s="79">
        <f t="shared" ref="J32:J35" si="0">D31-D32</f>
        <v>0</v>
      </c>
      <c r="K32" s="79">
        <f t="shared" ref="K32:K35" si="1">E31-E32</f>
        <v>-70.211150202976995</v>
      </c>
      <c r="L32" s="80">
        <f>(J32^2+K32^2)^0.5</f>
        <v>70.211150202976995</v>
      </c>
    </row>
    <row r="33" spans="2:12" x14ac:dyDescent="0.2">
      <c r="B33" s="76"/>
      <c r="C33" s="78"/>
      <c r="D33" s="77">
        <f>D32+Information!D44</f>
        <v>4</v>
      </c>
      <c r="E33" s="77">
        <f>E32</f>
        <v>84.36</v>
      </c>
      <c r="F33" s="78"/>
      <c r="G33" s="77">
        <f>IF(Information!$H$5="x",'Panel Calculations'!D33,0)</f>
        <v>4</v>
      </c>
      <c r="H33" s="77">
        <f>IF(Information!$H$5="x",'Panel Calculations'!E33,0)</f>
        <v>84.36</v>
      </c>
      <c r="I33" s="78"/>
      <c r="J33" s="79">
        <f t="shared" si="0"/>
        <v>-2</v>
      </c>
      <c r="K33" s="79">
        <f t="shared" si="1"/>
        <v>0</v>
      </c>
      <c r="L33" s="80">
        <f>(J33^2+K33^2)^0.5</f>
        <v>2</v>
      </c>
    </row>
    <row r="34" spans="2:12" x14ac:dyDescent="0.2">
      <c r="B34" s="76"/>
      <c r="C34" s="78"/>
      <c r="D34" s="77">
        <f>D33</f>
        <v>4</v>
      </c>
      <c r="E34" s="77">
        <f>E31</f>
        <v>14.148849797023002</v>
      </c>
      <c r="F34" s="78"/>
      <c r="G34" s="77">
        <f>IF(Information!$H$5="x",'Panel Calculations'!D34,0)</f>
        <v>4</v>
      </c>
      <c r="H34" s="77">
        <f>IF(Information!$H$5="x",'Panel Calculations'!E34,0)</f>
        <v>14.148849797023002</v>
      </c>
      <c r="I34" s="78"/>
      <c r="J34" s="79">
        <f t="shared" si="0"/>
        <v>0</v>
      </c>
      <c r="K34" s="79">
        <f t="shared" si="1"/>
        <v>70.211150202976995</v>
      </c>
      <c r="L34" s="80">
        <f>(J34^2+K34^2)^0.5</f>
        <v>70.211150202976995</v>
      </c>
    </row>
    <row r="35" spans="2:12" x14ac:dyDescent="0.2">
      <c r="B35" s="81"/>
      <c r="C35" s="83"/>
      <c r="D35" s="82">
        <f>D31</f>
        <v>2</v>
      </c>
      <c r="E35" s="82">
        <f>E31</f>
        <v>14.148849797023002</v>
      </c>
      <c r="F35" s="83"/>
      <c r="G35" s="77">
        <f>IF(Information!$H$5="x",'Panel Calculations'!D35,0)</f>
        <v>2</v>
      </c>
      <c r="H35" s="77">
        <f>IF(Information!$H$5="x",'Panel Calculations'!E35,0)</f>
        <v>14.148849797023002</v>
      </c>
      <c r="I35" s="83"/>
      <c r="J35" s="84">
        <f t="shared" si="0"/>
        <v>2</v>
      </c>
      <c r="K35" s="84">
        <f t="shared" si="1"/>
        <v>0</v>
      </c>
      <c r="L35" s="85">
        <f>(J35^2+K35^2)^0.5</f>
        <v>2</v>
      </c>
    </row>
    <row r="37" spans="2:12" x14ac:dyDescent="0.2">
      <c r="B37" s="71" t="s">
        <v>17</v>
      </c>
      <c r="C37" s="73" t="s">
        <v>89</v>
      </c>
      <c r="D37" s="72">
        <f>D70</f>
        <v>0</v>
      </c>
      <c r="E37" s="72">
        <f>E69-Information!D46</f>
        <v>84.36</v>
      </c>
      <c r="F37" s="73"/>
      <c r="G37" s="72">
        <f>IF(Information!$H$6="x",'Panel Calculations'!D37,0)</f>
        <v>0</v>
      </c>
      <c r="H37" s="72">
        <f>IF(Information!$H$6="x",'Panel Calculations'!E37,0)</f>
        <v>84.36</v>
      </c>
      <c r="I37" s="73"/>
      <c r="J37" s="74"/>
      <c r="K37" s="74"/>
      <c r="L37" s="75"/>
    </row>
    <row r="38" spans="2:12" x14ac:dyDescent="0.2">
      <c r="B38" s="76"/>
      <c r="C38" s="78"/>
      <c r="D38" s="77">
        <f>D37+Information!D11</f>
        <v>35.56</v>
      </c>
      <c r="E38" s="77">
        <f>E37</f>
        <v>84.36</v>
      </c>
      <c r="F38" s="78"/>
      <c r="G38" s="77">
        <f>IF(Information!$H$6="x",'Panel Calculations'!D38,0)</f>
        <v>35.56</v>
      </c>
      <c r="H38" s="77">
        <f>IF(Information!$H$6="x",'Panel Calculations'!E38,0)</f>
        <v>84.36</v>
      </c>
      <c r="I38" s="78"/>
      <c r="J38" s="79">
        <f t="shared" ref="J38:K41" si="2">D37-D38</f>
        <v>-35.56</v>
      </c>
      <c r="K38" s="79">
        <f t="shared" si="2"/>
        <v>0</v>
      </c>
      <c r="L38" s="80">
        <f>(J38^2+K38^2)^0.5</f>
        <v>35.56</v>
      </c>
    </row>
    <row r="39" spans="2:12" x14ac:dyDescent="0.2">
      <c r="B39" s="76"/>
      <c r="C39" s="78"/>
      <c r="D39" s="77">
        <f>D38</f>
        <v>35.56</v>
      </c>
      <c r="E39" s="77">
        <f>E38+Information!D16</f>
        <v>86.36</v>
      </c>
      <c r="F39" s="78"/>
      <c r="G39" s="77">
        <f>IF(Information!$H$6="x",'Panel Calculations'!D39,0)</f>
        <v>35.56</v>
      </c>
      <c r="H39" s="77">
        <f>IF(Information!$H$6="x",'Panel Calculations'!E39,0)</f>
        <v>86.36</v>
      </c>
      <c r="I39" s="78"/>
      <c r="J39" s="79">
        <f t="shared" si="2"/>
        <v>0</v>
      </c>
      <c r="K39" s="79">
        <f t="shared" si="2"/>
        <v>-2</v>
      </c>
      <c r="L39" s="80">
        <f>(J39^2+K39^2)^0.5</f>
        <v>2</v>
      </c>
    </row>
    <row r="40" spans="2:12" x14ac:dyDescent="0.2">
      <c r="B40" s="76"/>
      <c r="C40" s="78"/>
      <c r="D40" s="77">
        <f>D37</f>
        <v>0</v>
      </c>
      <c r="E40" s="77">
        <f>E39</f>
        <v>86.36</v>
      </c>
      <c r="F40" s="78"/>
      <c r="G40" s="77">
        <f>IF(Information!$H$6="x",'Panel Calculations'!D40,0)</f>
        <v>0</v>
      </c>
      <c r="H40" s="77">
        <f>IF(Information!$H$6="x",'Panel Calculations'!E40,0)</f>
        <v>86.36</v>
      </c>
      <c r="I40" s="78"/>
      <c r="J40" s="79">
        <f t="shared" si="2"/>
        <v>35.56</v>
      </c>
      <c r="K40" s="79">
        <f t="shared" si="2"/>
        <v>0</v>
      </c>
      <c r="L40" s="80">
        <f>(J40^2+K40^2)^0.5</f>
        <v>35.56</v>
      </c>
    </row>
    <row r="41" spans="2:12" x14ac:dyDescent="0.2">
      <c r="B41" s="81"/>
      <c r="C41" s="83"/>
      <c r="D41" s="82">
        <f>D37</f>
        <v>0</v>
      </c>
      <c r="E41" s="82">
        <f>E37</f>
        <v>84.36</v>
      </c>
      <c r="F41" s="83"/>
      <c r="G41" s="82">
        <f>IF(Information!$H$6="x",'Panel Calculations'!D41,0)</f>
        <v>0</v>
      </c>
      <c r="H41" s="82">
        <f>IF(Information!$H$6="x",'Panel Calculations'!E41,0)</f>
        <v>84.36</v>
      </c>
      <c r="I41" s="83"/>
      <c r="J41" s="84">
        <f t="shared" si="2"/>
        <v>0</v>
      </c>
      <c r="K41" s="84">
        <f t="shared" si="2"/>
        <v>2</v>
      </c>
      <c r="L41" s="85">
        <f>(J41^2+K41^2)^0.5</f>
        <v>2</v>
      </c>
    </row>
    <row r="42" spans="2:12" x14ac:dyDescent="0.2">
      <c r="D42" s="38"/>
      <c r="E42" s="38"/>
    </row>
    <row r="43" spans="2:12" x14ac:dyDescent="0.2">
      <c r="B43" s="71" t="s">
        <v>82</v>
      </c>
      <c r="C43" s="73" t="s">
        <v>90</v>
      </c>
      <c r="D43" s="72">
        <f>D67</f>
        <v>0</v>
      </c>
      <c r="E43" s="72">
        <f>E67+Information!D46</f>
        <v>2</v>
      </c>
      <c r="F43" s="73"/>
      <c r="G43" s="72">
        <f>IF(Information!$H$7="x",'Panel Calculations'!D43,0)</f>
        <v>0</v>
      </c>
      <c r="H43" s="72">
        <f>IF(Information!$H$7="x",'Panel Calculations'!E43,0)</f>
        <v>2</v>
      </c>
      <c r="I43" s="73"/>
      <c r="J43" s="74"/>
      <c r="K43" s="74"/>
      <c r="L43" s="75"/>
    </row>
    <row r="44" spans="2:12" x14ac:dyDescent="0.2">
      <c r="B44" s="76"/>
      <c r="C44" s="78"/>
      <c r="D44" s="77">
        <f>D68</f>
        <v>35.56</v>
      </c>
      <c r="E44" s="77">
        <f>E43</f>
        <v>2</v>
      </c>
      <c r="F44" s="78"/>
      <c r="G44" s="77">
        <f>IF(Information!$H$7="x",'Panel Calculations'!D44,0)</f>
        <v>35.56</v>
      </c>
      <c r="H44" s="77">
        <f>IF(Information!$H$7="x",'Panel Calculations'!E44,0)</f>
        <v>2</v>
      </c>
      <c r="I44" s="78"/>
      <c r="J44" s="79">
        <f t="shared" ref="J44:K47" si="3">D43-D44</f>
        <v>-35.56</v>
      </c>
      <c r="K44" s="79">
        <f t="shared" si="3"/>
        <v>0</v>
      </c>
      <c r="L44" s="80">
        <f>(J44^2+K44^2)^0.5</f>
        <v>35.56</v>
      </c>
    </row>
    <row r="45" spans="2:12" x14ac:dyDescent="0.2">
      <c r="B45" s="76"/>
      <c r="C45" s="78"/>
      <c r="D45" s="77">
        <f>D44</f>
        <v>35.56</v>
      </c>
      <c r="E45" s="77">
        <f>E44-Information!D16</f>
        <v>0</v>
      </c>
      <c r="F45" s="78"/>
      <c r="G45" s="77">
        <f>IF(Information!$H$7="x",'Panel Calculations'!D45,0)</f>
        <v>35.56</v>
      </c>
      <c r="H45" s="77">
        <f>IF(Information!$H$7="x",'Panel Calculations'!E45,0)</f>
        <v>0</v>
      </c>
      <c r="I45" s="78"/>
      <c r="J45" s="79">
        <f t="shared" si="3"/>
        <v>0</v>
      </c>
      <c r="K45" s="79">
        <f t="shared" si="3"/>
        <v>2</v>
      </c>
      <c r="L45" s="80">
        <f>(J45^2+K45^2)^0.5</f>
        <v>2</v>
      </c>
    </row>
    <row r="46" spans="2:12" x14ac:dyDescent="0.2">
      <c r="B46" s="76"/>
      <c r="C46" s="78"/>
      <c r="D46" s="77">
        <f>D43</f>
        <v>0</v>
      </c>
      <c r="E46" s="77">
        <f>E45</f>
        <v>0</v>
      </c>
      <c r="F46" s="78"/>
      <c r="G46" s="77">
        <f>IF(Information!$H$7="x",'Panel Calculations'!D46,0)</f>
        <v>0</v>
      </c>
      <c r="H46" s="77">
        <f>IF(Information!$H$7="x",'Panel Calculations'!E46,0)</f>
        <v>0</v>
      </c>
      <c r="I46" s="78"/>
      <c r="J46" s="79">
        <f t="shared" si="3"/>
        <v>35.56</v>
      </c>
      <c r="K46" s="79">
        <f t="shared" si="3"/>
        <v>0</v>
      </c>
      <c r="L46" s="80">
        <f>(J46^2+K46^2)^0.5</f>
        <v>35.56</v>
      </c>
    </row>
    <row r="47" spans="2:12" x14ac:dyDescent="0.2">
      <c r="B47" s="81"/>
      <c r="C47" s="83"/>
      <c r="D47" s="82">
        <f>D43</f>
        <v>0</v>
      </c>
      <c r="E47" s="82">
        <f>E43</f>
        <v>2</v>
      </c>
      <c r="F47" s="83"/>
      <c r="G47" s="82">
        <f>IF(Information!$H$7="x",'Panel Calculations'!D47,0)</f>
        <v>0</v>
      </c>
      <c r="H47" s="82">
        <f>IF(Information!$H$7="x",'Panel Calculations'!E47,0)</f>
        <v>2</v>
      </c>
      <c r="I47" s="83"/>
      <c r="J47" s="84">
        <f t="shared" si="3"/>
        <v>0</v>
      </c>
      <c r="K47" s="84">
        <f t="shared" si="3"/>
        <v>-2</v>
      </c>
      <c r="L47" s="85">
        <f>(J47^2+K47^2)^0.5</f>
        <v>2</v>
      </c>
    </row>
    <row r="48" spans="2:12" x14ac:dyDescent="0.2">
      <c r="D48" s="38"/>
      <c r="E48" s="38"/>
    </row>
    <row r="49" spans="2:12" x14ac:dyDescent="0.2">
      <c r="B49" s="71" t="s">
        <v>18</v>
      </c>
      <c r="C49" s="73" t="s">
        <v>50</v>
      </c>
      <c r="D49" s="72">
        <f>D68</f>
        <v>35.56</v>
      </c>
      <c r="E49" s="72">
        <f>E67+Information!D46</f>
        <v>2</v>
      </c>
      <c r="F49" s="73"/>
      <c r="G49" s="72">
        <f>IF(Information!$H$8="x",'Panel Calculations'!D49,0)</f>
        <v>35.56</v>
      </c>
      <c r="H49" s="72">
        <f>IF(Information!$H$8="x",'Panel Calculations'!E49,0)</f>
        <v>2</v>
      </c>
      <c r="I49" s="73"/>
      <c r="J49" s="74"/>
      <c r="K49" s="74"/>
      <c r="L49" s="75"/>
    </row>
    <row r="50" spans="2:12" x14ac:dyDescent="0.2">
      <c r="B50" s="76"/>
      <c r="C50" s="78"/>
      <c r="D50" s="77">
        <f>D49-Information!D16</f>
        <v>33.56</v>
      </c>
      <c r="E50" s="77">
        <f>E49</f>
        <v>2</v>
      </c>
      <c r="F50" s="78"/>
      <c r="G50" s="77">
        <f>IF(Information!$H$8="x",'Panel Calculations'!D50,0)</f>
        <v>33.56</v>
      </c>
      <c r="H50" s="77">
        <f>IF(Information!$H$8="x",'Panel Calculations'!E50,0)</f>
        <v>2</v>
      </c>
      <c r="I50" s="78"/>
      <c r="J50" s="79">
        <f t="shared" ref="J50:K53" si="4">D49-D50</f>
        <v>2</v>
      </c>
      <c r="K50" s="79">
        <f t="shared" si="4"/>
        <v>0</v>
      </c>
      <c r="L50" s="80">
        <f>(J50^2+K50^2)^0.5</f>
        <v>2</v>
      </c>
    </row>
    <row r="51" spans="2:12" x14ac:dyDescent="0.2">
      <c r="B51" s="76"/>
      <c r="C51" s="78"/>
      <c r="D51" s="77">
        <f>D50</f>
        <v>33.56</v>
      </c>
      <c r="E51" s="77">
        <f>E38</f>
        <v>84.36</v>
      </c>
      <c r="F51" s="78"/>
      <c r="G51" s="77">
        <f>IF(Information!$H$8="x",'Panel Calculations'!D51,0)</f>
        <v>33.56</v>
      </c>
      <c r="H51" s="77">
        <f>IF(Information!$H$8="x",'Panel Calculations'!E51,0)</f>
        <v>84.36</v>
      </c>
      <c r="I51" s="78"/>
      <c r="J51" s="79">
        <f t="shared" si="4"/>
        <v>0</v>
      </c>
      <c r="K51" s="79">
        <f t="shared" si="4"/>
        <v>-82.36</v>
      </c>
      <c r="L51" s="80">
        <f>(J51^2+K51^2)^0.5</f>
        <v>82.36</v>
      </c>
    </row>
    <row r="52" spans="2:12" x14ac:dyDescent="0.2">
      <c r="B52" s="76"/>
      <c r="C52" s="78"/>
      <c r="D52" s="77">
        <f>D51+Information!D16</f>
        <v>35.56</v>
      </c>
      <c r="E52" s="77">
        <f>E51</f>
        <v>84.36</v>
      </c>
      <c r="F52" s="78"/>
      <c r="G52" s="77">
        <f>IF(Information!$H$8="x",'Panel Calculations'!D52,0)</f>
        <v>35.56</v>
      </c>
      <c r="H52" s="77">
        <f>IF(Information!$H$8="x",'Panel Calculations'!E52,0)</f>
        <v>84.36</v>
      </c>
      <c r="I52" s="78"/>
      <c r="J52" s="79">
        <f t="shared" si="4"/>
        <v>-2</v>
      </c>
      <c r="K52" s="79">
        <f t="shared" si="4"/>
        <v>0</v>
      </c>
      <c r="L52" s="80">
        <f>(J52^2+K52^2)^0.5</f>
        <v>2</v>
      </c>
    </row>
    <row r="53" spans="2:12" x14ac:dyDescent="0.2">
      <c r="B53" s="81"/>
      <c r="C53" s="83"/>
      <c r="D53" s="82">
        <f>D49</f>
        <v>35.56</v>
      </c>
      <c r="E53" s="82">
        <f>E49</f>
        <v>2</v>
      </c>
      <c r="F53" s="83"/>
      <c r="G53" s="82">
        <f>IF(Information!$H$8="x",'Panel Calculations'!D53,0)</f>
        <v>35.56</v>
      </c>
      <c r="H53" s="82">
        <f>IF(Information!$H$8="x",'Panel Calculations'!E53,0)</f>
        <v>2</v>
      </c>
      <c r="I53" s="83"/>
      <c r="J53" s="84">
        <f t="shared" si="4"/>
        <v>0</v>
      </c>
      <c r="K53" s="84">
        <f t="shared" si="4"/>
        <v>82.36</v>
      </c>
      <c r="L53" s="85">
        <f>(J53^2+K53^2)^0.5</f>
        <v>82.36</v>
      </c>
    </row>
    <row r="54" spans="2:12" x14ac:dyDescent="0.2">
      <c r="D54" s="38"/>
      <c r="E54" s="38"/>
    </row>
    <row r="55" spans="2:12" x14ac:dyDescent="0.2">
      <c r="B55" s="71" t="s">
        <v>20</v>
      </c>
      <c r="C55" s="73" t="s">
        <v>91</v>
      </c>
      <c r="D55" s="72">
        <f>D50</f>
        <v>33.56</v>
      </c>
      <c r="E55" s="72">
        <f>E63+(D55-D34)*Q23+Information!D48/Q22</f>
        <v>24.625311707198858</v>
      </c>
      <c r="F55" s="73"/>
      <c r="G55" s="72">
        <f>IF(Information!$H$9="x",'Panel Calculations'!D55,0)</f>
        <v>33.56</v>
      </c>
      <c r="H55" s="72">
        <f>IF(Information!$H$9="x",'Panel Calculations'!E55,0)</f>
        <v>24.625311707198858</v>
      </c>
      <c r="I55" s="73"/>
      <c r="J55" s="74"/>
      <c r="K55" s="74"/>
      <c r="L55" s="75"/>
    </row>
    <row r="56" spans="2:12" x14ac:dyDescent="0.2">
      <c r="B56" s="76"/>
      <c r="C56" s="78"/>
      <c r="D56" s="77">
        <f>D55-Information!F48*Q22</f>
        <v>22.687435928399573</v>
      </c>
      <c r="E56" s="77">
        <f>E55+Information!F48*P22</f>
        <v>71.094896966547083</v>
      </c>
      <c r="F56" s="78"/>
      <c r="G56" s="77">
        <f>IF(Information!$H$9="x",'Panel Calculations'!D56,0)</f>
        <v>22.687435928399573</v>
      </c>
      <c r="H56" s="77">
        <f>IF(Information!$H$9="x",'Panel Calculations'!E56,0)</f>
        <v>71.094896966547083</v>
      </c>
      <c r="I56" s="78"/>
      <c r="J56" s="79">
        <f t="shared" ref="J56:K59" si="5">D55-D56</f>
        <v>10.872564071600429</v>
      </c>
      <c r="K56" s="79">
        <f t="shared" si="5"/>
        <v>-46.469585259348221</v>
      </c>
      <c r="L56" s="80">
        <f>(J56^2+K56^2)^0.5</f>
        <v>47.724574421013855</v>
      </c>
    </row>
    <row r="57" spans="2:12" x14ac:dyDescent="0.2">
      <c r="B57" s="76"/>
      <c r="C57" s="78"/>
      <c r="D57" s="77">
        <f>D56-Information!D48*P22</f>
        <v>20.740028923806697</v>
      </c>
      <c r="E57" s="77">
        <f>E56-Information!D48*Q22</f>
        <v>70.639258997911242</v>
      </c>
      <c r="F57" s="78"/>
      <c r="G57" s="77">
        <f>IF(Information!$H$9="x",'Panel Calculations'!D57,0)</f>
        <v>20.740028923806697</v>
      </c>
      <c r="H57" s="77">
        <f>IF(Information!$H$9="x",'Panel Calculations'!E57,0)</f>
        <v>70.639258997911242</v>
      </c>
      <c r="I57" s="78"/>
      <c r="J57" s="79">
        <f t="shared" si="5"/>
        <v>1.9474070045928755</v>
      </c>
      <c r="K57" s="79">
        <f t="shared" si="5"/>
        <v>0.45563796863584116</v>
      </c>
      <c r="L57" s="80">
        <f>(J57^2+K57^2)^0.5</f>
        <v>1.999999999999998</v>
      </c>
    </row>
    <row r="58" spans="2:12" x14ac:dyDescent="0.2">
      <c r="B58" s="76"/>
      <c r="C58" s="78"/>
      <c r="D58" s="77">
        <f>D55-Information!D48*P22</f>
        <v>31.612592995407127</v>
      </c>
      <c r="E58" s="77">
        <f>E55-Information!D48*Q22</f>
        <v>24.169673738563013</v>
      </c>
      <c r="F58" s="78"/>
      <c r="G58" s="77">
        <f>IF(Information!$H$9="x",'Panel Calculations'!D58,0)</f>
        <v>31.612592995407127</v>
      </c>
      <c r="H58" s="77">
        <f>IF(Information!$H$9="x",'Panel Calculations'!E58,0)</f>
        <v>24.169673738563013</v>
      </c>
      <c r="I58" s="78"/>
      <c r="J58" s="79">
        <f t="shared" si="5"/>
        <v>-10.872564071600429</v>
      </c>
      <c r="K58" s="79">
        <f t="shared" si="5"/>
        <v>46.469585259348229</v>
      </c>
      <c r="L58" s="80">
        <f>(J58^2+K58^2)^0.5</f>
        <v>47.724574421013862</v>
      </c>
    </row>
    <row r="59" spans="2:12" x14ac:dyDescent="0.2">
      <c r="B59" s="81"/>
      <c r="C59" s="83"/>
      <c r="D59" s="82">
        <f>D55</f>
        <v>33.56</v>
      </c>
      <c r="E59" s="82">
        <f>E55</f>
        <v>24.625311707198858</v>
      </c>
      <c r="F59" s="83"/>
      <c r="G59" s="82">
        <f>IF(Information!$H$9="x",'Panel Calculations'!D59,0)</f>
        <v>33.56</v>
      </c>
      <c r="H59" s="82">
        <f>IF(Information!$H$9="x",'Panel Calculations'!E59,0)</f>
        <v>24.625311707198858</v>
      </c>
      <c r="I59" s="83"/>
      <c r="J59" s="84">
        <f t="shared" si="5"/>
        <v>-1.9474070045928755</v>
      </c>
      <c r="K59" s="84">
        <f t="shared" si="5"/>
        <v>-0.45563796863584471</v>
      </c>
      <c r="L59" s="85">
        <f>(J59^2+K59^2)^0.5</f>
        <v>1.9999999999999987</v>
      </c>
    </row>
    <row r="60" spans="2:12" x14ac:dyDescent="0.2">
      <c r="D60" s="38"/>
      <c r="E60" s="38"/>
    </row>
    <row r="61" spans="2:12" x14ac:dyDescent="0.2">
      <c r="B61" s="71" t="s">
        <v>21</v>
      </c>
      <c r="C61" s="73" t="s">
        <v>92</v>
      </c>
      <c r="D61" s="72">
        <f>D40</f>
        <v>0</v>
      </c>
      <c r="E61" s="72">
        <f>E43+Information!D27/(Information!D20-Information!$D$51)</f>
        <v>12.148849797023002</v>
      </c>
      <c r="F61" s="73"/>
      <c r="G61" s="72">
        <f>IF(Information!$H$10="x",'Panel Calculations'!D61,0)</f>
        <v>0</v>
      </c>
      <c r="H61" s="72">
        <f>IF(Information!$H$10="x",'Panel Calculations'!E61,0)</f>
        <v>12.148849797023002</v>
      </c>
      <c r="I61" s="73"/>
      <c r="J61" s="74"/>
      <c r="K61" s="74"/>
      <c r="L61" s="75"/>
    </row>
    <row r="62" spans="2:12" x14ac:dyDescent="0.2">
      <c r="B62" s="76"/>
      <c r="C62" s="78"/>
      <c r="D62" s="77">
        <f>D55-(Information!D27/(Information!D20-Information!$D$51))</f>
        <v>23.411150202976998</v>
      </c>
      <c r="E62" s="77">
        <f>E61</f>
        <v>12.148849797023002</v>
      </c>
      <c r="F62" s="78"/>
      <c r="G62" s="77">
        <f>IF(Information!$H$10="x",'Panel Calculations'!D62,0)</f>
        <v>23.411150202976998</v>
      </c>
      <c r="H62" s="77">
        <f>IF(Information!$H$10="x",'Panel Calculations'!E62,0)</f>
        <v>12.148849797023002</v>
      </c>
      <c r="I62" s="78"/>
      <c r="J62" s="79">
        <f t="shared" ref="J62:K65" si="6">D61-D62</f>
        <v>-23.411150202976998</v>
      </c>
      <c r="K62" s="79">
        <f t="shared" si="6"/>
        <v>0</v>
      </c>
      <c r="L62" s="80">
        <f>(J62^2+K62^2)^0.5</f>
        <v>23.411150202976998</v>
      </c>
    </row>
    <row r="63" spans="2:12" x14ac:dyDescent="0.2">
      <c r="B63" s="76"/>
      <c r="C63" s="78"/>
      <c r="D63" s="77">
        <f>D62</f>
        <v>23.411150202976998</v>
      </c>
      <c r="E63" s="77">
        <f>E62+Information!D50</f>
        <v>14.148849797023002</v>
      </c>
      <c r="F63" s="78"/>
      <c r="G63" s="77">
        <f>IF(Information!$H$10="x",'Panel Calculations'!D63,0)</f>
        <v>23.411150202976998</v>
      </c>
      <c r="H63" s="77">
        <f>IF(Information!$H$10="x",'Panel Calculations'!E63,0)</f>
        <v>14.148849797023002</v>
      </c>
      <c r="I63" s="78"/>
      <c r="J63" s="79">
        <f t="shared" si="6"/>
        <v>0</v>
      </c>
      <c r="K63" s="79">
        <f t="shared" si="6"/>
        <v>-2</v>
      </c>
      <c r="L63" s="80">
        <f>(J63^2+K63^2)^0.5</f>
        <v>2</v>
      </c>
    </row>
    <row r="64" spans="2:12" x14ac:dyDescent="0.2">
      <c r="B64" s="76"/>
      <c r="C64" s="78"/>
      <c r="D64" s="77">
        <f>D61</f>
        <v>0</v>
      </c>
      <c r="E64" s="77">
        <f>E63</f>
        <v>14.148849797023002</v>
      </c>
      <c r="F64" s="78"/>
      <c r="G64" s="77">
        <f>IF(Information!$H$10="x",'Panel Calculations'!D64,0)</f>
        <v>0</v>
      </c>
      <c r="H64" s="77">
        <f>IF(Information!$H$10="x",'Panel Calculations'!E64,0)</f>
        <v>14.148849797023002</v>
      </c>
      <c r="I64" s="78"/>
      <c r="J64" s="79">
        <f t="shared" si="6"/>
        <v>23.411150202976998</v>
      </c>
      <c r="K64" s="79">
        <f t="shared" si="6"/>
        <v>0</v>
      </c>
      <c r="L64" s="80">
        <f>(J64^2+K64^2)^0.5</f>
        <v>23.411150202976998</v>
      </c>
    </row>
    <row r="65" spans="2:12" x14ac:dyDescent="0.2">
      <c r="B65" s="81"/>
      <c r="C65" s="83"/>
      <c r="D65" s="82">
        <f>D61</f>
        <v>0</v>
      </c>
      <c r="E65" s="82">
        <f>E61</f>
        <v>12.148849797023002</v>
      </c>
      <c r="F65" s="83"/>
      <c r="G65" s="82">
        <f>IF(Information!$H$10="x",'Panel Calculations'!D65,0)</f>
        <v>0</v>
      </c>
      <c r="H65" s="82">
        <f>IF(Information!$H$10="x",'Panel Calculations'!E65,0)</f>
        <v>12.148849797023002</v>
      </c>
      <c r="I65" s="83"/>
      <c r="J65" s="84">
        <f t="shared" si="6"/>
        <v>0</v>
      </c>
      <c r="K65" s="84">
        <f t="shared" si="6"/>
        <v>2</v>
      </c>
      <c r="L65" s="85">
        <f>(J65^2+K65^2)^0.5</f>
        <v>2</v>
      </c>
    </row>
    <row r="66" spans="2:12" x14ac:dyDescent="0.2">
      <c r="D66" s="38"/>
      <c r="E66" s="38"/>
    </row>
    <row r="67" spans="2:12" x14ac:dyDescent="0.2">
      <c r="B67" s="71" t="s">
        <v>31</v>
      </c>
      <c r="C67" s="73" t="s">
        <v>93</v>
      </c>
      <c r="D67" s="72">
        <f>D3</f>
        <v>0</v>
      </c>
      <c r="E67" s="72">
        <f>E3</f>
        <v>0</v>
      </c>
      <c r="F67" s="73"/>
      <c r="G67" s="72">
        <f>IF(Information!$H$11="x",'Panel Calculations'!D67,0)</f>
        <v>0</v>
      </c>
      <c r="H67" s="72">
        <f>IF(Information!$H$11="x",'Panel Calculations'!E67,0)</f>
        <v>0</v>
      </c>
      <c r="I67" s="73"/>
      <c r="J67" s="74"/>
      <c r="K67" s="74"/>
      <c r="L67" s="75"/>
    </row>
    <row r="68" spans="2:12" x14ac:dyDescent="0.2">
      <c r="B68" s="76"/>
      <c r="C68" s="78"/>
      <c r="D68" s="77">
        <f>D67+Information!D11</f>
        <v>35.56</v>
      </c>
      <c r="E68" s="77">
        <f>E67</f>
        <v>0</v>
      </c>
      <c r="F68" s="78"/>
      <c r="G68" s="77">
        <f>IF(Information!$H$11="x",'Panel Calculations'!D68,0)</f>
        <v>35.56</v>
      </c>
      <c r="H68" s="77">
        <f>IF(Information!$H$11="x",'Panel Calculations'!E68,0)</f>
        <v>0</v>
      </c>
      <c r="I68" s="78"/>
      <c r="J68" s="79">
        <f t="shared" ref="J68:K71" si="7">D67-D68</f>
        <v>-35.56</v>
      </c>
      <c r="K68" s="79">
        <f t="shared" si="7"/>
        <v>0</v>
      </c>
      <c r="L68" s="80">
        <f>(J68^2+K68^2)^0.5</f>
        <v>35.56</v>
      </c>
    </row>
    <row r="69" spans="2:12" x14ac:dyDescent="0.2">
      <c r="B69" s="76"/>
      <c r="C69" s="78"/>
      <c r="D69" s="77">
        <f>D68</f>
        <v>35.56</v>
      </c>
      <c r="E69" s="77">
        <f>E68+Information!D12</f>
        <v>86.36</v>
      </c>
      <c r="F69" s="78"/>
      <c r="G69" s="77">
        <f>IF(Information!$H$11="x",'Panel Calculations'!D69,0)</f>
        <v>35.56</v>
      </c>
      <c r="H69" s="77">
        <f>IF(Information!$H$11="x",'Panel Calculations'!E69,0)</f>
        <v>86.36</v>
      </c>
      <c r="I69" s="78"/>
      <c r="J69" s="79">
        <f t="shared" si="7"/>
        <v>0</v>
      </c>
      <c r="K69" s="79">
        <f t="shared" si="7"/>
        <v>-86.36</v>
      </c>
      <c r="L69" s="80">
        <f>(J69^2+K69^2)^0.5</f>
        <v>86.36</v>
      </c>
    </row>
    <row r="70" spans="2:12" x14ac:dyDescent="0.2">
      <c r="B70" s="76"/>
      <c r="C70" s="78"/>
      <c r="D70" s="77">
        <f>D67</f>
        <v>0</v>
      </c>
      <c r="E70" s="77">
        <f>E69</f>
        <v>86.36</v>
      </c>
      <c r="F70" s="78"/>
      <c r="G70" s="77">
        <f>IF(Information!$H$11="x",'Panel Calculations'!D70,0)</f>
        <v>0</v>
      </c>
      <c r="H70" s="77">
        <f>IF(Information!$H$11="x",'Panel Calculations'!E70,0)</f>
        <v>86.36</v>
      </c>
      <c r="I70" s="78"/>
      <c r="J70" s="79">
        <f t="shared" si="7"/>
        <v>35.56</v>
      </c>
      <c r="K70" s="79">
        <f t="shared" si="7"/>
        <v>0</v>
      </c>
      <c r="L70" s="80">
        <f>(J70^2+K70^2)^0.5</f>
        <v>35.56</v>
      </c>
    </row>
    <row r="71" spans="2:12" x14ac:dyDescent="0.2">
      <c r="B71" s="81"/>
      <c r="C71" s="83"/>
      <c r="D71" s="82">
        <f>D67</f>
        <v>0</v>
      </c>
      <c r="E71" s="82">
        <f>E67</f>
        <v>0</v>
      </c>
      <c r="F71" s="83"/>
      <c r="G71" s="82">
        <f>IF(Information!$H$11="x",'Panel Calculations'!D71,0)</f>
        <v>0</v>
      </c>
      <c r="H71" s="82">
        <f>IF(Information!$H$11="x",'Panel Calculations'!E71,0)</f>
        <v>0</v>
      </c>
      <c r="I71" s="83"/>
      <c r="J71" s="84">
        <f t="shared" si="7"/>
        <v>0</v>
      </c>
      <c r="K71" s="84">
        <f t="shared" si="7"/>
        <v>86.36</v>
      </c>
      <c r="L71" s="85">
        <f>(J71^2+K71^2)^0.5</f>
        <v>86.36</v>
      </c>
    </row>
    <row r="73" spans="2:12" x14ac:dyDescent="0.2">
      <c r="B73" s="71" t="s">
        <v>131</v>
      </c>
      <c r="C73" s="73" t="s">
        <v>132</v>
      </c>
      <c r="D73" s="72">
        <f>D43</f>
        <v>0</v>
      </c>
      <c r="E73" s="72">
        <f>E43</f>
        <v>2</v>
      </c>
      <c r="F73" s="73"/>
      <c r="G73" s="72">
        <f>IF(Information!$H$12="x",'Panel Calculations'!D73,0)</f>
        <v>0</v>
      </c>
      <c r="H73" s="72">
        <f>IF(Information!$H$12="x",'Panel Calculations'!E73,0)</f>
        <v>2</v>
      </c>
      <c r="I73" s="73"/>
      <c r="J73" s="74"/>
      <c r="K73" s="74"/>
      <c r="L73" s="75"/>
    </row>
    <row r="74" spans="2:12" x14ac:dyDescent="0.2">
      <c r="B74" s="76"/>
      <c r="C74" s="78"/>
      <c r="D74" s="77">
        <f>D50</f>
        <v>33.56</v>
      </c>
      <c r="E74" s="77">
        <f>E73</f>
        <v>2</v>
      </c>
      <c r="F74" s="78"/>
      <c r="G74" s="77">
        <f>IF(Information!$H$12="x",'Panel Calculations'!D74,0)</f>
        <v>33.56</v>
      </c>
      <c r="H74" s="77">
        <f>IF(Information!$H$12="x",'Panel Calculations'!E74,0)</f>
        <v>2</v>
      </c>
      <c r="I74" s="78"/>
      <c r="J74" s="79">
        <f t="shared" ref="J74:J77" si="8">D73-D74</f>
        <v>-33.56</v>
      </c>
      <c r="K74" s="79">
        <f t="shared" ref="K74:K77" si="9">E73-E74</f>
        <v>0</v>
      </c>
      <c r="L74" s="80">
        <f>(J74^2+K74^2)^0.5</f>
        <v>33.56</v>
      </c>
    </row>
    <row r="75" spans="2:12" x14ac:dyDescent="0.2">
      <c r="B75" s="76"/>
      <c r="C75" s="78"/>
      <c r="D75" s="77">
        <f>D74</f>
        <v>33.56</v>
      </c>
      <c r="E75" s="77">
        <f>E62</f>
        <v>12.148849797023002</v>
      </c>
      <c r="F75" s="78"/>
      <c r="G75" s="77">
        <f>IF(Information!$H$12="x",'Panel Calculations'!D75,0)</f>
        <v>33.56</v>
      </c>
      <c r="H75" s="77">
        <f>IF(Information!$H$12="x",'Panel Calculations'!E75,0)</f>
        <v>12.148849797023002</v>
      </c>
      <c r="I75" s="78"/>
      <c r="J75" s="79">
        <f t="shared" si="8"/>
        <v>0</v>
      </c>
      <c r="K75" s="79">
        <f t="shared" si="9"/>
        <v>-10.148849797023002</v>
      </c>
      <c r="L75" s="80">
        <f>(J75^2+K75^2)^0.5</f>
        <v>10.148849797023002</v>
      </c>
    </row>
    <row r="76" spans="2:12" x14ac:dyDescent="0.2">
      <c r="B76" s="76"/>
      <c r="C76" s="78"/>
      <c r="D76" s="77">
        <f>D73</f>
        <v>0</v>
      </c>
      <c r="E76" s="77">
        <f>E75</f>
        <v>12.148849797023002</v>
      </c>
      <c r="F76" s="78"/>
      <c r="G76" s="77">
        <f>IF(Information!$H$12="x",'Panel Calculations'!D76,0)</f>
        <v>0</v>
      </c>
      <c r="H76" s="77">
        <f>IF(Information!$H$12="x",'Panel Calculations'!E76,0)</f>
        <v>12.148849797023002</v>
      </c>
      <c r="I76" s="78"/>
      <c r="J76" s="79">
        <f t="shared" si="8"/>
        <v>33.56</v>
      </c>
      <c r="K76" s="79">
        <f t="shared" si="9"/>
        <v>0</v>
      </c>
      <c r="L76" s="80">
        <f>(J76^2+K76^2)^0.5</f>
        <v>33.56</v>
      </c>
    </row>
    <row r="77" spans="2:12" x14ac:dyDescent="0.2">
      <c r="B77" s="81"/>
      <c r="C77" s="83"/>
      <c r="D77" s="82">
        <f>D73</f>
        <v>0</v>
      </c>
      <c r="E77" s="82">
        <f>E73</f>
        <v>2</v>
      </c>
      <c r="F77" s="83"/>
      <c r="G77" s="82">
        <f>IF(Information!$H$12="x",'Panel Calculations'!D77,0)</f>
        <v>0</v>
      </c>
      <c r="H77" s="82">
        <f>IF(Information!$H$12="x",'Panel Calculations'!E77,0)</f>
        <v>2</v>
      </c>
      <c r="I77" s="83"/>
      <c r="J77" s="84">
        <f t="shared" si="8"/>
        <v>0</v>
      </c>
      <c r="K77" s="84">
        <f t="shared" si="9"/>
        <v>10.148849797023002</v>
      </c>
      <c r="L77" s="85">
        <f>(J77^2+K77^2)^0.5</f>
        <v>10.148849797023002</v>
      </c>
    </row>
    <row r="80" spans="2:12" x14ac:dyDescent="0.2">
      <c r="B80" s="37" t="s">
        <v>75</v>
      </c>
    </row>
    <row r="81" spans="2:12" x14ac:dyDescent="0.2">
      <c r="B81" s="71"/>
      <c r="C81" s="73"/>
      <c r="D81" s="72">
        <f>D68+10</f>
        <v>45.56</v>
      </c>
      <c r="E81" s="72">
        <f>E67</f>
        <v>0</v>
      </c>
      <c r="F81" s="73"/>
      <c r="G81" s="72">
        <f>IF(Information!$H$14="x",'Panel Calculations'!D81,"")</f>
        <v>45.56</v>
      </c>
      <c r="H81" s="72">
        <f>IF(Information!$H$14="x",'Panel Calculations'!E81,"")</f>
        <v>0</v>
      </c>
      <c r="I81" s="73"/>
      <c r="J81" s="74"/>
      <c r="K81" s="74"/>
      <c r="L81" s="75"/>
    </row>
    <row r="82" spans="2:12" x14ac:dyDescent="0.2">
      <c r="B82" s="76"/>
      <c r="C82" s="78"/>
      <c r="D82" s="77">
        <f>D81+Information!D13</f>
        <v>81.12</v>
      </c>
      <c r="E82" s="77">
        <f>E81</f>
        <v>0</v>
      </c>
      <c r="F82" s="78"/>
      <c r="G82" s="77">
        <f>IF(Information!$H$14="x",'Panel Calculations'!D82,"")</f>
        <v>81.12</v>
      </c>
      <c r="H82" s="77">
        <f>IF(Information!$H$14="x",'Panel Calculations'!E82,"")</f>
        <v>0</v>
      </c>
      <c r="I82" s="78"/>
      <c r="J82" s="79">
        <f t="shared" ref="J82:J85" si="10">D81-D82</f>
        <v>-35.56</v>
      </c>
      <c r="K82" s="79">
        <f t="shared" ref="K82:K85" si="11">E81-E82</f>
        <v>0</v>
      </c>
      <c r="L82" s="80">
        <f>(J82^2+K82^2)^0.5</f>
        <v>35.56</v>
      </c>
    </row>
    <row r="83" spans="2:12" x14ac:dyDescent="0.2">
      <c r="B83" s="76"/>
      <c r="C83" s="78"/>
      <c r="D83" s="77">
        <f>D82</f>
        <v>81.12</v>
      </c>
      <c r="E83" s="77">
        <f>E69</f>
        <v>86.36</v>
      </c>
      <c r="F83" s="78"/>
      <c r="G83" s="77">
        <f>IF(Information!$H$14="x",'Panel Calculations'!D83,"")</f>
        <v>81.12</v>
      </c>
      <c r="H83" s="77">
        <f>IF(Information!$H$14="x",'Panel Calculations'!E83,"")</f>
        <v>86.36</v>
      </c>
      <c r="I83" s="78"/>
      <c r="J83" s="79">
        <f t="shared" si="10"/>
        <v>0</v>
      </c>
      <c r="K83" s="79">
        <f t="shared" si="11"/>
        <v>-86.36</v>
      </c>
      <c r="L83" s="80">
        <f>(J83^2+K83^2)^0.5</f>
        <v>86.36</v>
      </c>
    </row>
    <row r="84" spans="2:12" x14ac:dyDescent="0.2">
      <c r="B84" s="76"/>
      <c r="C84" s="78"/>
      <c r="D84" s="77">
        <f>D81</f>
        <v>45.56</v>
      </c>
      <c r="E84" s="77">
        <f>E83</f>
        <v>86.36</v>
      </c>
      <c r="F84" s="78"/>
      <c r="G84" s="77">
        <f>IF(Information!$H$14="x",'Panel Calculations'!D84,"")</f>
        <v>45.56</v>
      </c>
      <c r="H84" s="77">
        <f>IF(Information!$H$14="x",'Panel Calculations'!E84,"")</f>
        <v>86.36</v>
      </c>
      <c r="I84" s="78"/>
      <c r="J84" s="79">
        <f t="shared" si="10"/>
        <v>35.56</v>
      </c>
      <c r="K84" s="79">
        <f t="shared" si="11"/>
        <v>0</v>
      </c>
      <c r="L84" s="80">
        <f>(J84^2+K84^2)^0.5</f>
        <v>35.56</v>
      </c>
    </row>
    <row r="85" spans="2:12" x14ac:dyDescent="0.2">
      <c r="B85" s="81"/>
      <c r="C85" s="83"/>
      <c r="D85" s="82">
        <f>D81</f>
        <v>45.56</v>
      </c>
      <c r="E85" s="82">
        <f>E81</f>
        <v>0</v>
      </c>
      <c r="F85" s="83"/>
      <c r="G85" s="82">
        <f>IF(Information!$H$14="x",'Panel Calculations'!D85,"")</f>
        <v>45.56</v>
      </c>
      <c r="H85" s="82">
        <f>IF(Information!$H$14="x",'Panel Calculations'!E85,"")</f>
        <v>0</v>
      </c>
      <c r="I85" s="83"/>
      <c r="J85" s="84">
        <f t="shared" si="10"/>
        <v>0</v>
      </c>
      <c r="K85" s="84">
        <f t="shared" si="11"/>
        <v>86.36</v>
      </c>
      <c r="L85" s="85">
        <f>(J85^2+K85^2)^0.5</f>
        <v>86.36</v>
      </c>
    </row>
    <row r="87" spans="2:12" x14ac:dyDescent="0.2">
      <c r="B87" s="71"/>
      <c r="C87" s="73"/>
      <c r="D87" s="72">
        <f>D81</f>
        <v>45.56</v>
      </c>
      <c r="E87" s="72">
        <f>E81</f>
        <v>0</v>
      </c>
      <c r="F87" s="73"/>
      <c r="G87" s="72">
        <f>IF(Information!$H$14="x",'Panel Calculations'!D87,"")</f>
        <v>45.56</v>
      </c>
      <c r="H87" s="72">
        <f>IF(Information!$H$14="x",'Panel Calculations'!E87,"")</f>
        <v>0</v>
      </c>
      <c r="I87" s="73"/>
      <c r="J87" s="74"/>
      <c r="K87" s="74"/>
      <c r="L87" s="75"/>
    </row>
    <row r="88" spans="2:12" x14ac:dyDescent="0.2">
      <c r="B88" s="76"/>
      <c r="C88" s="78"/>
      <c r="D88" s="77">
        <f>D87+Information!D50</f>
        <v>47.56</v>
      </c>
      <c r="E88" s="77">
        <f>E87</f>
        <v>0</v>
      </c>
      <c r="F88" s="78"/>
      <c r="G88" s="77">
        <f>IF(Information!$H$14="x",'Panel Calculations'!D88,"")</f>
        <v>47.56</v>
      </c>
      <c r="H88" s="77">
        <f>IF(Information!$H$14="x",'Panel Calculations'!E88,"")</f>
        <v>0</v>
      </c>
      <c r="I88" s="78"/>
      <c r="J88" s="79">
        <f t="shared" ref="J88:J91" si="12">D87-D88</f>
        <v>-2</v>
      </c>
      <c r="K88" s="79">
        <f t="shared" ref="K88:K91" si="13">E87-E88</f>
        <v>0</v>
      </c>
      <c r="L88" s="80">
        <f>(J88^2+K88^2)^0.5</f>
        <v>2</v>
      </c>
    </row>
    <row r="89" spans="2:12" x14ac:dyDescent="0.2">
      <c r="B89" s="76"/>
      <c r="C89" s="78"/>
      <c r="D89" s="77">
        <f>D88</f>
        <v>47.56</v>
      </c>
      <c r="E89" s="77">
        <f>E83</f>
        <v>86.36</v>
      </c>
      <c r="F89" s="78"/>
      <c r="G89" s="77">
        <f>IF(Information!$H$14="x",'Panel Calculations'!D89,"")</f>
        <v>47.56</v>
      </c>
      <c r="H89" s="77">
        <f>IF(Information!$H$14="x",'Panel Calculations'!E89,"")</f>
        <v>86.36</v>
      </c>
      <c r="I89" s="78"/>
      <c r="J89" s="79">
        <f t="shared" si="12"/>
        <v>0</v>
      </c>
      <c r="K89" s="79">
        <f t="shared" si="13"/>
        <v>-86.36</v>
      </c>
      <c r="L89" s="80">
        <f>(J89^2+K89^2)^0.5</f>
        <v>86.36</v>
      </c>
    </row>
    <row r="90" spans="2:12" x14ac:dyDescent="0.2">
      <c r="B90" s="76"/>
      <c r="C90" s="78"/>
      <c r="D90" s="77">
        <f>D87</f>
        <v>45.56</v>
      </c>
      <c r="E90" s="77">
        <f>E89</f>
        <v>86.36</v>
      </c>
      <c r="F90" s="78"/>
      <c r="G90" s="77">
        <f>IF(Information!$H$14="x",'Panel Calculations'!D90,"")</f>
        <v>45.56</v>
      </c>
      <c r="H90" s="77">
        <f>IF(Information!$H$14="x",'Panel Calculations'!E90,"")</f>
        <v>86.36</v>
      </c>
      <c r="I90" s="78"/>
      <c r="J90" s="79">
        <f t="shared" si="12"/>
        <v>2</v>
      </c>
      <c r="K90" s="79">
        <f t="shared" si="13"/>
        <v>0</v>
      </c>
      <c r="L90" s="80">
        <f>(J90^2+K90^2)^0.5</f>
        <v>2</v>
      </c>
    </row>
    <row r="91" spans="2:12" x14ac:dyDescent="0.2">
      <c r="B91" s="81"/>
      <c r="C91" s="83"/>
      <c r="D91" s="82">
        <f>D87</f>
        <v>45.56</v>
      </c>
      <c r="E91" s="82">
        <f>E87</f>
        <v>0</v>
      </c>
      <c r="F91" s="83"/>
      <c r="G91" s="82">
        <f>IF(Information!$H$14="x",'Panel Calculations'!D91,"")</f>
        <v>45.56</v>
      </c>
      <c r="H91" s="82">
        <f>IF(Information!$H$14="x",'Panel Calculations'!E91,"")</f>
        <v>0</v>
      </c>
      <c r="I91" s="83"/>
      <c r="J91" s="84">
        <f t="shared" si="12"/>
        <v>0</v>
      </c>
      <c r="K91" s="84">
        <f t="shared" si="13"/>
        <v>86.36</v>
      </c>
      <c r="L91" s="85">
        <f>(J91^2+K91^2)^0.5</f>
        <v>86.36</v>
      </c>
    </row>
    <row r="93" spans="2:12" x14ac:dyDescent="0.2">
      <c r="B93" s="71"/>
      <c r="C93" s="73"/>
      <c r="D93" s="72">
        <f>D82-Information!D50</f>
        <v>79.12</v>
      </c>
      <c r="E93" s="72">
        <f>E82</f>
        <v>0</v>
      </c>
      <c r="F93" s="73"/>
      <c r="G93" s="72">
        <f>IF(Information!$H$14="x",'Panel Calculations'!D93,"")</f>
        <v>79.12</v>
      </c>
      <c r="H93" s="72">
        <f>IF(Information!$H$14="x",'Panel Calculations'!E93,"")</f>
        <v>0</v>
      </c>
      <c r="I93" s="73"/>
      <c r="J93" s="74"/>
      <c r="K93" s="74"/>
      <c r="L93" s="75"/>
    </row>
    <row r="94" spans="2:12" x14ac:dyDescent="0.2">
      <c r="B94" s="76"/>
      <c r="C94" s="78"/>
      <c r="D94" s="77">
        <f>D82</f>
        <v>81.12</v>
      </c>
      <c r="E94" s="77">
        <f>E93</f>
        <v>0</v>
      </c>
      <c r="F94" s="78"/>
      <c r="G94" s="77">
        <f>IF(Information!$H$14="x",'Panel Calculations'!D94,"")</f>
        <v>81.12</v>
      </c>
      <c r="H94" s="77">
        <f>IF(Information!$H$14="x",'Panel Calculations'!E94,"")</f>
        <v>0</v>
      </c>
      <c r="I94" s="78"/>
      <c r="J94" s="79">
        <f t="shared" ref="J94:J97" si="14">D93-D94</f>
        <v>-2</v>
      </c>
      <c r="K94" s="79">
        <f t="shared" ref="K94:K97" si="15">E93-E94</f>
        <v>0</v>
      </c>
      <c r="L94" s="80">
        <f>(J94^2+K94^2)^0.5</f>
        <v>2</v>
      </c>
    </row>
    <row r="95" spans="2:12" x14ac:dyDescent="0.2">
      <c r="B95" s="76"/>
      <c r="C95" s="78"/>
      <c r="D95" s="77">
        <f>D94</f>
        <v>81.12</v>
      </c>
      <c r="E95" s="77">
        <f>E89</f>
        <v>86.36</v>
      </c>
      <c r="F95" s="78"/>
      <c r="G95" s="77">
        <f>IF(Information!$H$14="x",'Panel Calculations'!D95,"")</f>
        <v>81.12</v>
      </c>
      <c r="H95" s="77">
        <f>IF(Information!$H$14="x",'Panel Calculations'!E95,"")</f>
        <v>86.36</v>
      </c>
      <c r="I95" s="78"/>
      <c r="J95" s="79">
        <f t="shared" si="14"/>
        <v>0</v>
      </c>
      <c r="K95" s="79">
        <f t="shared" si="15"/>
        <v>-86.36</v>
      </c>
      <c r="L95" s="80">
        <f>(J95^2+K95^2)^0.5</f>
        <v>86.36</v>
      </c>
    </row>
    <row r="96" spans="2:12" x14ac:dyDescent="0.2">
      <c r="B96" s="76"/>
      <c r="C96" s="78"/>
      <c r="D96" s="77">
        <f>D93</f>
        <v>79.12</v>
      </c>
      <c r="E96" s="77">
        <f>E95</f>
        <v>86.36</v>
      </c>
      <c r="F96" s="78"/>
      <c r="G96" s="77">
        <f>IF(Information!$H$14="x",'Panel Calculations'!D96,"")</f>
        <v>79.12</v>
      </c>
      <c r="H96" s="77">
        <f>IF(Information!$H$14="x",'Panel Calculations'!E96,"")</f>
        <v>86.36</v>
      </c>
      <c r="I96" s="78"/>
      <c r="J96" s="79">
        <f t="shared" si="14"/>
        <v>2</v>
      </c>
      <c r="K96" s="79">
        <f t="shared" si="15"/>
        <v>0</v>
      </c>
      <c r="L96" s="80">
        <f>(J96^2+K96^2)^0.5</f>
        <v>2</v>
      </c>
    </row>
    <row r="97" spans="2:12" x14ac:dyDescent="0.2">
      <c r="B97" s="81"/>
      <c r="C97" s="83"/>
      <c r="D97" s="82">
        <f>D93</f>
        <v>79.12</v>
      </c>
      <c r="E97" s="82">
        <f>E93</f>
        <v>0</v>
      </c>
      <c r="F97" s="83"/>
      <c r="G97" s="82">
        <f>IF(Information!$H$14="x",'Panel Calculations'!D97,"")</f>
        <v>79.12</v>
      </c>
      <c r="H97" s="82">
        <f>IF(Information!$H$14="x",'Panel Calculations'!E97,"")</f>
        <v>0</v>
      </c>
      <c r="I97" s="83"/>
      <c r="J97" s="84">
        <f t="shared" si="14"/>
        <v>0</v>
      </c>
      <c r="K97" s="84">
        <f t="shared" si="15"/>
        <v>86.36</v>
      </c>
      <c r="L97" s="85">
        <f>(J97^2+K97^2)^0.5</f>
        <v>86.36</v>
      </c>
    </row>
    <row r="99" spans="2:12" x14ac:dyDescent="0.2">
      <c r="B99" s="71"/>
      <c r="C99" s="73"/>
      <c r="D99" s="72">
        <f>D88</f>
        <v>47.56</v>
      </c>
      <c r="E99" s="72">
        <f>E88</f>
        <v>0</v>
      </c>
      <c r="F99" s="73"/>
      <c r="G99" s="72">
        <f>IF(Information!$H$14="x",'Panel Calculations'!D99,"")</f>
        <v>47.56</v>
      </c>
      <c r="H99" s="72">
        <f>IF(Information!$H$14="x",'Panel Calculations'!E99,"")</f>
        <v>0</v>
      </c>
      <c r="I99" s="73"/>
      <c r="J99" s="74"/>
      <c r="K99" s="74"/>
      <c r="L99" s="75"/>
    </row>
    <row r="100" spans="2:12" x14ac:dyDescent="0.2">
      <c r="B100" s="76"/>
      <c r="C100" s="78"/>
      <c r="D100" s="77">
        <f>D88</f>
        <v>47.56</v>
      </c>
      <c r="E100" s="77">
        <f>E99+Information!D46</f>
        <v>2</v>
      </c>
      <c r="F100" s="78"/>
      <c r="G100" s="77">
        <f>IF(Information!$H$14="x",'Panel Calculations'!D100,"")</f>
        <v>47.56</v>
      </c>
      <c r="H100" s="77">
        <f>IF(Information!$H$14="x",'Panel Calculations'!E100,"")</f>
        <v>2</v>
      </c>
      <c r="I100" s="78"/>
      <c r="J100" s="79">
        <f t="shared" ref="J100:J103" si="16">D99-D100</f>
        <v>0</v>
      </c>
      <c r="K100" s="79">
        <f t="shared" ref="K100:K103" si="17">E99-E100</f>
        <v>-2</v>
      </c>
      <c r="L100" s="80">
        <f>(J100^2+K100^2)^0.5</f>
        <v>2</v>
      </c>
    </row>
    <row r="101" spans="2:12" x14ac:dyDescent="0.2">
      <c r="B101" s="76"/>
      <c r="C101" s="78"/>
      <c r="D101" s="77">
        <f>D93</f>
        <v>79.12</v>
      </c>
      <c r="E101" s="77">
        <f>E100</f>
        <v>2</v>
      </c>
      <c r="F101" s="78"/>
      <c r="G101" s="77">
        <f>IF(Information!$H$14="x",'Panel Calculations'!D101,"")</f>
        <v>79.12</v>
      </c>
      <c r="H101" s="77">
        <f>IF(Information!$H$14="x",'Panel Calculations'!E101,"")</f>
        <v>2</v>
      </c>
      <c r="I101" s="78"/>
      <c r="J101" s="79">
        <f t="shared" si="16"/>
        <v>-31.560000000000002</v>
      </c>
      <c r="K101" s="79">
        <f t="shared" si="17"/>
        <v>0</v>
      </c>
      <c r="L101" s="80">
        <f>(J101^2+K101^2)^0.5</f>
        <v>31.560000000000002</v>
      </c>
    </row>
    <row r="102" spans="2:12" x14ac:dyDescent="0.2">
      <c r="B102" s="76"/>
      <c r="C102" s="78"/>
      <c r="D102" s="77">
        <f>D101</f>
        <v>79.12</v>
      </c>
      <c r="E102" s="77">
        <f>E99</f>
        <v>0</v>
      </c>
      <c r="F102" s="78"/>
      <c r="G102" s="77">
        <f>IF(Information!$H$14="x",'Panel Calculations'!D102,"")</f>
        <v>79.12</v>
      </c>
      <c r="H102" s="77">
        <f>IF(Information!$H$14="x",'Panel Calculations'!E102,"")</f>
        <v>0</v>
      </c>
      <c r="I102" s="78"/>
      <c r="J102" s="79">
        <f t="shared" si="16"/>
        <v>0</v>
      </c>
      <c r="K102" s="79">
        <f t="shared" si="17"/>
        <v>2</v>
      </c>
      <c r="L102" s="80">
        <f>(J102^2+K102^2)^0.5</f>
        <v>2</v>
      </c>
    </row>
    <row r="103" spans="2:12" x14ac:dyDescent="0.2">
      <c r="B103" s="81"/>
      <c r="C103" s="83"/>
      <c r="D103" s="82">
        <f>D99</f>
        <v>47.56</v>
      </c>
      <c r="E103" s="82">
        <f>E99</f>
        <v>0</v>
      </c>
      <c r="F103" s="83"/>
      <c r="G103" s="82">
        <f>IF(Information!$H$14="x",'Panel Calculations'!D103,"")</f>
        <v>47.56</v>
      </c>
      <c r="H103" s="82">
        <f>IF(Information!$H$14="x",'Panel Calculations'!E103,"")</f>
        <v>0</v>
      </c>
      <c r="I103" s="83"/>
      <c r="J103" s="84">
        <f t="shared" si="16"/>
        <v>31.560000000000002</v>
      </c>
      <c r="K103" s="84">
        <f t="shared" si="17"/>
        <v>0</v>
      </c>
      <c r="L103" s="85">
        <f>(J103^2+K103^2)^0.5</f>
        <v>31.560000000000002</v>
      </c>
    </row>
    <row r="105" spans="2:12" x14ac:dyDescent="0.2">
      <c r="B105" s="71"/>
      <c r="C105" s="73"/>
      <c r="D105" s="72">
        <f>D99</f>
        <v>47.56</v>
      </c>
      <c r="E105" s="72">
        <f>E89</f>
        <v>86.36</v>
      </c>
      <c r="F105" s="73"/>
      <c r="G105" s="72">
        <f>IF(Information!$H$14="x",'Panel Calculations'!D105,"")</f>
        <v>47.56</v>
      </c>
      <c r="H105" s="72">
        <f>IF(Information!$H$14="x",'Panel Calculations'!E105,"")</f>
        <v>86.36</v>
      </c>
      <c r="I105" s="73"/>
      <c r="J105" s="74"/>
      <c r="K105" s="74"/>
      <c r="L105" s="75"/>
    </row>
    <row r="106" spans="2:12" x14ac:dyDescent="0.2">
      <c r="B106" s="76"/>
      <c r="C106" s="78"/>
      <c r="D106" s="77">
        <f>D96</f>
        <v>79.12</v>
      </c>
      <c r="E106" s="77">
        <f>E105+Information!D54</f>
        <v>86.36</v>
      </c>
      <c r="F106" s="78"/>
      <c r="G106" s="77">
        <f>IF(Information!$H$14="x",'Panel Calculations'!D106,"")</f>
        <v>79.12</v>
      </c>
      <c r="H106" s="77">
        <f>IF(Information!$H$14="x",'Panel Calculations'!E106,"")</f>
        <v>86.36</v>
      </c>
      <c r="I106" s="78"/>
      <c r="J106" s="79">
        <f t="shared" ref="J106:J109" si="18">D105-D106</f>
        <v>-31.560000000000002</v>
      </c>
      <c r="K106" s="79">
        <f t="shared" ref="K106:K109" si="19">E105-E106</f>
        <v>0</v>
      </c>
      <c r="L106" s="80">
        <f>(J106^2+K106^2)^0.5</f>
        <v>31.560000000000002</v>
      </c>
    </row>
    <row r="107" spans="2:12" x14ac:dyDescent="0.2">
      <c r="B107" s="76"/>
      <c r="C107" s="78"/>
      <c r="D107" s="77">
        <f>D106</f>
        <v>79.12</v>
      </c>
      <c r="E107" s="77">
        <f>E106-Information!D46</f>
        <v>84.36</v>
      </c>
      <c r="F107" s="78"/>
      <c r="G107" s="77">
        <f>IF(Information!$H$14="x",'Panel Calculations'!D107,"")</f>
        <v>79.12</v>
      </c>
      <c r="H107" s="77">
        <f>IF(Information!$H$14="x",'Panel Calculations'!E107,"")</f>
        <v>84.36</v>
      </c>
      <c r="I107" s="78"/>
      <c r="J107" s="79">
        <f t="shared" si="18"/>
        <v>0</v>
      </c>
      <c r="K107" s="79">
        <f t="shared" si="19"/>
        <v>2</v>
      </c>
      <c r="L107" s="80">
        <f>(J107^2+K107^2)^0.5</f>
        <v>2</v>
      </c>
    </row>
    <row r="108" spans="2:12" x14ac:dyDescent="0.2">
      <c r="B108" s="76"/>
      <c r="C108" s="78"/>
      <c r="D108" s="77">
        <f>D105</f>
        <v>47.56</v>
      </c>
      <c r="E108" s="77">
        <f>E107</f>
        <v>84.36</v>
      </c>
      <c r="F108" s="78"/>
      <c r="G108" s="77">
        <f>IF(Information!$H$14="x",'Panel Calculations'!D108,"")</f>
        <v>47.56</v>
      </c>
      <c r="H108" s="77">
        <f>IF(Information!$H$14="x",'Panel Calculations'!E108,"")</f>
        <v>84.36</v>
      </c>
      <c r="I108" s="78"/>
      <c r="J108" s="79">
        <f t="shared" si="18"/>
        <v>31.560000000000002</v>
      </c>
      <c r="K108" s="79">
        <f t="shared" si="19"/>
        <v>0</v>
      </c>
      <c r="L108" s="80">
        <f>(J108^2+K108^2)^0.5</f>
        <v>31.560000000000002</v>
      </c>
    </row>
    <row r="109" spans="2:12" x14ac:dyDescent="0.2">
      <c r="B109" s="81"/>
      <c r="C109" s="83"/>
      <c r="D109" s="82">
        <f>D105</f>
        <v>47.56</v>
      </c>
      <c r="E109" s="82">
        <f>E105</f>
        <v>86.36</v>
      </c>
      <c r="F109" s="83"/>
      <c r="G109" s="82">
        <f>IF(Information!$H$14="x",'Panel Calculations'!D109,"")</f>
        <v>47.56</v>
      </c>
      <c r="H109" s="82">
        <f>IF(Information!$H$14="x",'Panel Calculations'!E109,"")</f>
        <v>86.36</v>
      </c>
      <c r="I109" s="83"/>
      <c r="J109" s="84">
        <f t="shared" si="18"/>
        <v>0</v>
      </c>
      <c r="K109" s="84">
        <f t="shared" si="19"/>
        <v>-2</v>
      </c>
      <c r="L109" s="85">
        <f>(J109^2+K109^2)^0.5</f>
        <v>2</v>
      </c>
    </row>
    <row r="111" spans="2:12" x14ac:dyDescent="0.2">
      <c r="B111" s="71"/>
      <c r="C111" s="73"/>
      <c r="D111" s="72">
        <f>D105</f>
        <v>47.56</v>
      </c>
      <c r="E111" s="72">
        <f>E61</f>
        <v>12.148849797023002</v>
      </c>
      <c r="F111" s="73"/>
      <c r="G111" s="72">
        <f>IF(Information!$H$14="x",'Panel Calculations'!D111,"")</f>
        <v>47.56</v>
      </c>
      <c r="H111" s="72">
        <f>IF(Information!$H$14="x",'Panel Calculations'!E111,"")</f>
        <v>12.148849797023002</v>
      </c>
      <c r="I111" s="73"/>
      <c r="J111" s="74"/>
      <c r="K111" s="74"/>
      <c r="L111" s="75"/>
    </row>
    <row r="112" spans="2:12" x14ac:dyDescent="0.2">
      <c r="B112" s="76"/>
      <c r="C112" s="78"/>
      <c r="D112" s="77">
        <f>D102</f>
        <v>79.12</v>
      </c>
      <c r="E112" s="77">
        <f>E111</f>
        <v>12.148849797023002</v>
      </c>
      <c r="F112" s="78"/>
      <c r="G112" s="77">
        <f>IF(Information!$H$14="x",'Panel Calculations'!D112,"")</f>
        <v>79.12</v>
      </c>
      <c r="H112" s="77">
        <f>IF(Information!$H$14="x",'Panel Calculations'!E112,"")</f>
        <v>12.148849797023002</v>
      </c>
      <c r="I112" s="78"/>
      <c r="J112" s="79">
        <f t="shared" ref="J112:J115" si="20">D111-D112</f>
        <v>-31.560000000000002</v>
      </c>
      <c r="K112" s="79">
        <f t="shared" ref="K112:K115" si="21">E111-E112</f>
        <v>0</v>
      </c>
      <c r="L112" s="80">
        <f>(J112^2+K112^2)^0.5</f>
        <v>31.560000000000002</v>
      </c>
    </row>
    <row r="113" spans="2:12" x14ac:dyDescent="0.2">
      <c r="B113" s="76"/>
      <c r="C113" s="78"/>
      <c r="D113" s="77">
        <f>D112</f>
        <v>79.12</v>
      </c>
      <c r="E113" s="77">
        <f>E63</f>
        <v>14.148849797023002</v>
      </c>
      <c r="F113" s="78"/>
      <c r="G113" s="77">
        <f>IF(Information!$H$14="x",'Panel Calculations'!D113,"")</f>
        <v>79.12</v>
      </c>
      <c r="H113" s="77">
        <f>IF(Information!$H$14="x",'Panel Calculations'!E113,"")</f>
        <v>14.148849797023002</v>
      </c>
      <c r="I113" s="78"/>
      <c r="J113" s="79">
        <f t="shared" si="20"/>
        <v>0</v>
      </c>
      <c r="K113" s="79">
        <f t="shared" si="21"/>
        <v>-2</v>
      </c>
      <c r="L113" s="80">
        <f>(J113^2+K113^2)^0.5</f>
        <v>2</v>
      </c>
    </row>
    <row r="114" spans="2:12" x14ac:dyDescent="0.2">
      <c r="B114" s="76"/>
      <c r="C114" s="78"/>
      <c r="D114" s="77">
        <f>D111</f>
        <v>47.56</v>
      </c>
      <c r="E114" s="77">
        <f>E113</f>
        <v>14.148849797023002</v>
      </c>
      <c r="F114" s="78"/>
      <c r="G114" s="77">
        <f>IF(Information!$H$14="x",'Panel Calculations'!D114,"")</f>
        <v>47.56</v>
      </c>
      <c r="H114" s="77">
        <f>IF(Information!$H$14="x",'Panel Calculations'!E114,"")</f>
        <v>14.148849797023002</v>
      </c>
      <c r="I114" s="78"/>
      <c r="J114" s="79">
        <f t="shared" si="20"/>
        <v>31.560000000000002</v>
      </c>
      <c r="K114" s="79">
        <f t="shared" si="21"/>
        <v>0</v>
      </c>
      <c r="L114" s="80">
        <f>(J114^2+K114^2)^0.5</f>
        <v>31.560000000000002</v>
      </c>
    </row>
    <row r="115" spans="2:12" x14ac:dyDescent="0.2">
      <c r="B115" s="81"/>
      <c r="C115" s="83"/>
      <c r="D115" s="82">
        <f>D111</f>
        <v>47.56</v>
      </c>
      <c r="E115" s="82">
        <f>E111</f>
        <v>12.148849797023002</v>
      </c>
      <c r="F115" s="83"/>
      <c r="G115" s="82">
        <f>IF(Information!$H$14="x",'Panel Calculations'!D115,"")</f>
        <v>47.56</v>
      </c>
      <c r="H115" s="82">
        <f>IF(Information!$H$14="x",'Panel Calculations'!E115,"")</f>
        <v>12.148849797023002</v>
      </c>
      <c r="I115" s="83"/>
      <c r="J115" s="84">
        <f t="shared" si="20"/>
        <v>0</v>
      </c>
      <c r="K115" s="84">
        <f t="shared" si="21"/>
        <v>2</v>
      </c>
      <c r="L115" s="85">
        <f>(J115^2+K115^2)^0.5</f>
        <v>2</v>
      </c>
    </row>
    <row r="117" spans="2:12" x14ac:dyDescent="0.2">
      <c r="B117" s="71"/>
      <c r="C117" s="73"/>
      <c r="D117" s="72">
        <f>(D89+D101-Information!D51)/2</f>
        <v>62.34</v>
      </c>
      <c r="E117" s="72">
        <f>E101</f>
        <v>2</v>
      </c>
      <c r="F117" s="73"/>
      <c r="G117" s="72">
        <f>IF(Information!$H$14="x",'Panel Calculations'!D117,"")</f>
        <v>62.34</v>
      </c>
      <c r="H117" s="72">
        <f>IF(Information!$H$14="x",'Panel Calculations'!E117,"")</f>
        <v>2</v>
      </c>
      <c r="I117" s="73"/>
      <c r="J117" s="74"/>
      <c r="K117" s="74"/>
      <c r="L117" s="75"/>
    </row>
    <row r="118" spans="2:12" x14ac:dyDescent="0.2">
      <c r="B118" s="76"/>
      <c r="C118" s="78"/>
      <c r="D118" s="77">
        <f>D117+Information!D51</f>
        <v>64.34</v>
      </c>
      <c r="E118" s="77">
        <f>E117</f>
        <v>2</v>
      </c>
      <c r="F118" s="78"/>
      <c r="G118" s="77">
        <f>IF(Information!$H$14="x",'Panel Calculations'!D118,"")</f>
        <v>64.34</v>
      </c>
      <c r="H118" s="77">
        <f>IF(Information!$H$14="x",'Panel Calculations'!E118,"")</f>
        <v>2</v>
      </c>
      <c r="I118" s="78"/>
      <c r="J118" s="79">
        <f t="shared" ref="J118:J121" si="22">D117-D118</f>
        <v>-2</v>
      </c>
      <c r="K118" s="79">
        <f t="shared" ref="K118:K121" si="23">E117-E118</f>
        <v>0</v>
      </c>
      <c r="L118" s="80">
        <f>(J118^2+K118^2)^0.5</f>
        <v>2</v>
      </c>
    </row>
    <row r="119" spans="2:12" x14ac:dyDescent="0.2">
      <c r="B119" s="76"/>
      <c r="C119" s="78"/>
      <c r="D119" s="77">
        <f>D118</f>
        <v>64.34</v>
      </c>
      <c r="E119" s="77">
        <f>E75</f>
        <v>12.148849797023002</v>
      </c>
      <c r="F119" s="78"/>
      <c r="G119" s="77">
        <f>IF(Information!$H$14="x",'Panel Calculations'!D119,"")</f>
        <v>64.34</v>
      </c>
      <c r="H119" s="77">
        <f>IF(Information!$H$14="x",'Panel Calculations'!E119,"")</f>
        <v>12.148849797023002</v>
      </c>
      <c r="I119" s="78"/>
      <c r="J119" s="79">
        <f t="shared" si="22"/>
        <v>0</v>
      </c>
      <c r="K119" s="79">
        <f t="shared" si="23"/>
        <v>-10.148849797023002</v>
      </c>
      <c r="L119" s="80">
        <f>(J119^2+K119^2)^0.5</f>
        <v>10.148849797023002</v>
      </c>
    </row>
    <row r="120" spans="2:12" x14ac:dyDescent="0.2">
      <c r="B120" s="76"/>
      <c r="C120" s="78"/>
      <c r="D120" s="77">
        <f>D117</f>
        <v>62.34</v>
      </c>
      <c r="E120" s="77">
        <f>E119</f>
        <v>12.148849797023002</v>
      </c>
      <c r="F120" s="78"/>
      <c r="G120" s="77">
        <f>IF(Information!$H$14="x",'Panel Calculations'!D120,"")</f>
        <v>62.34</v>
      </c>
      <c r="H120" s="77">
        <f>IF(Information!$H$14="x",'Panel Calculations'!E120,"")</f>
        <v>12.148849797023002</v>
      </c>
      <c r="I120" s="78"/>
      <c r="J120" s="79">
        <f t="shared" si="22"/>
        <v>2</v>
      </c>
      <c r="K120" s="79">
        <f t="shared" si="23"/>
        <v>0</v>
      </c>
      <c r="L120" s="80">
        <f>(J120^2+K120^2)^0.5</f>
        <v>2</v>
      </c>
    </row>
    <row r="121" spans="2:12" x14ac:dyDescent="0.2">
      <c r="B121" s="81"/>
      <c r="C121" s="83"/>
      <c r="D121" s="82">
        <f>D117</f>
        <v>62.34</v>
      </c>
      <c r="E121" s="82">
        <f>E117</f>
        <v>2</v>
      </c>
      <c r="F121" s="83"/>
      <c r="G121" s="82">
        <f>IF(Information!$H$14="x",'Panel Calculations'!D121,"")</f>
        <v>62.34</v>
      </c>
      <c r="H121" s="82">
        <f>IF(Information!$H$14="x",'Panel Calculations'!E121,"")</f>
        <v>2</v>
      </c>
      <c r="I121" s="83"/>
      <c r="J121" s="84">
        <f t="shared" si="22"/>
        <v>0</v>
      </c>
      <c r="K121" s="84">
        <f t="shared" si="23"/>
        <v>10.148849797023002</v>
      </c>
      <c r="L121" s="85">
        <f>(J121^2+K121^2)^0.5</f>
        <v>10.148849797023002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G89"/>
  <sheetViews>
    <sheetView topLeftCell="B1" workbookViewId="0">
      <selection activeCell="T44" sqref="T44"/>
    </sheetView>
  </sheetViews>
  <sheetFormatPr defaultColWidth="9.140625" defaultRowHeight="11.25" x14ac:dyDescent="0.2"/>
  <cols>
    <col min="1" max="24" width="9.140625" style="37"/>
    <col min="25" max="25" width="19.7109375" style="37" customWidth="1"/>
    <col min="26" max="26" width="13.5703125" style="37" bestFit="1" customWidth="1"/>
    <col min="27" max="16384" width="9.140625" style="37"/>
  </cols>
  <sheetData>
    <row r="1" spans="2:33" x14ac:dyDescent="0.2">
      <c r="O1" s="87" t="s">
        <v>62</v>
      </c>
      <c r="P1" s="118" t="s">
        <v>63</v>
      </c>
      <c r="Q1" s="118" t="s">
        <v>64</v>
      </c>
      <c r="R1" s="118" t="s">
        <v>81</v>
      </c>
    </row>
    <row r="2" spans="2:33" x14ac:dyDescent="0.2">
      <c r="O2" s="116">
        <f>Information!F41</f>
        <v>13.168700163604557</v>
      </c>
      <c r="P2" s="117">
        <f>COS(O2*PI()/180)</f>
        <v>0.97370350229643865</v>
      </c>
      <c r="Q2" s="117">
        <f>SIN(O2*PI()/180)</f>
        <v>0.22781898431792147</v>
      </c>
      <c r="R2" s="117">
        <f>TAN(O2*PI()/180)</f>
        <v>0.23397161844506054</v>
      </c>
    </row>
    <row r="3" spans="2:33" x14ac:dyDescent="0.2">
      <c r="O3" s="116">
        <f>O2/2</f>
        <v>6.5843500818022784</v>
      </c>
      <c r="P3" s="117">
        <f>COS(O3*PI()/(180*2))</f>
        <v>0.99834966889760923</v>
      </c>
      <c r="Q3" s="117">
        <f>SIN(O3*PI()/(180*2))</f>
        <v>5.7427681583308902E-2</v>
      </c>
      <c r="R3" s="117">
        <f>TAN(O3*PI()/(180*2))</f>
        <v>5.7522612940535449E-2</v>
      </c>
    </row>
    <row r="4" spans="2:33" x14ac:dyDescent="0.2">
      <c r="B4" s="1" t="s">
        <v>24</v>
      </c>
      <c r="C4" s="2"/>
      <c r="D4" s="27" t="s">
        <v>11</v>
      </c>
      <c r="E4" s="27" t="s">
        <v>12</v>
      </c>
      <c r="F4" s="2"/>
      <c r="G4" s="27" t="s">
        <v>11</v>
      </c>
      <c r="H4" s="27" t="s">
        <v>12</v>
      </c>
      <c r="I4" s="2"/>
      <c r="J4" s="27" t="s">
        <v>25</v>
      </c>
      <c r="K4" s="27" t="s">
        <v>11</v>
      </c>
      <c r="L4" s="27" t="s">
        <v>12</v>
      </c>
      <c r="M4" s="1" t="s">
        <v>26</v>
      </c>
      <c r="N4" s="27" t="s">
        <v>25</v>
      </c>
      <c r="O4" s="1" t="s">
        <v>27</v>
      </c>
      <c r="P4" s="1" t="s">
        <v>28</v>
      </c>
      <c r="Y4" s="1" t="s">
        <v>71</v>
      </c>
      <c r="Z4" s="27" t="s">
        <v>66</v>
      </c>
      <c r="AA4" s="27" t="s">
        <v>67</v>
      </c>
      <c r="AB4" s="27" t="s">
        <v>68</v>
      </c>
      <c r="AC4" s="27" t="s">
        <v>69</v>
      </c>
      <c r="AD4" s="27" t="s">
        <v>72</v>
      </c>
      <c r="AE4" s="27" t="s">
        <v>73</v>
      </c>
      <c r="AF4" s="27" t="s">
        <v>11</v>
      </c>
      <c r="AG4" s="27" t="s">
        <v>12</v>
      </c>
    </row>
    <row r="5" spans="2:33" x14ac:dyDescent="0.2">
      <c r="B5" s="1"/>
      <c r="C5" s="2"/>
      <c r="D5" s="27"/>
      <c r="E5" s="27"/>
      <c r="F5" s="2"/>
      <c r="G5" s="27"/>
      <c r="H5" s="27"/>
      <c r="I5" s="2"/>
      <c r="J5" s="27"/>
      <c r="K5" s="27"/>
      <c r="L5" s="27"/>
      <c r="M5" s="1"/>
      <c r="N5" s="27"/>
      <c r="O5" s="1"/>
      <c r="P5" s="1"/>
      <c r="Y5" s="1"/>
      <c r="Z5" s="2"/>
      <c r="AA5" s="2"/>
      <c r="AB5" s="2"/>
      <c r="AC5" s="2"/>
      <c r="AD5" s="2"/>
      <c r="AE5" s="2"/>
      <c r="AF5" s="2"/>
      <c r="AG5" s="2"/>
    </row>
    <row r="6" spans="2:33" x14ac:dyDescent="0.2">
      <c r="B6" s="2"/>
      <c r="C6" s="1"/>
      <c r="D6" s="9">
        <f>'Panel Calculations'!D55</f>
        <v>33.56</v>
      </c>
      <c r="E6" s="10">
        <f>'Panel Calculations'!E55</f>
        <v>24.625311707198858</v>
      </c>
      <c r="F6" s="11"/>
      <c r="G6" s="10">
        <f>IF(Information!$H$18="x",D6,0)</f>
        <v>33.56</v>
      </c>
      <c r="H6" s="10">
        <f>IF(Information!$H$18="x",E6,0)</f>
        <v>24.625311707198858</v>
      </c>
      <c r="I6" s="10">
        <f>SUM(D6:D7)/2</f>
        <v>33.56</v>
      </c>
      <c r="J6" s="10">
        <f>SUM(E6:E7)/2</f>
        <v>24.625311707198858</v>
      </c>
      <c r="K6" s="10">
        <f>IF(Information!$H$17="x",I6,0)</f>
        <v>33.56</v>
      </c>
      <c r="L6" s="10">
        <f>IF(Information!$H$17="x",J6,0)</f>
        <v>24.625311707198858</v>
      </c>
      <c r="M6" s="12"/>
      <c r="N6" s="10">
        <f t="shared" ref="N6" si="0">N5</f>
        <v>0</v>
      </c>
      <c r="O6" s="10">
        <v>0</v>
      </c>
      <c r="P6" s="13">
        <f t="shared" ref="P6" si="1">P5</f>
        <v>0</v>
      </c>
      <c r="Q6" s="14"/>
      <c r="R6" s="14"/>
      <c r="S6" s="15"/>
      <c r="T6" s="14"/>
      <c r="U6" s="14"/>
      <c r="V6" s="15"/>
      <c r="Y6" s="1" t="s">
        <v>136</v>
      </c>
      <c r="Z6" s="15">
        <f>I30</f>
        <v>12.370014461903349</v>
      </c>
      <c r="AA6" s="15">
        <f>J30</f>
        <v>70.158588472545375</v>
      </c>
      <c r="AB6" s="15">
        <f>I33</f>
        <v>18.78</v>
      </c>
      <c r="AC6" s="15">
        <f>J33</f>
        <v>14.997630930824307</v>
      </c>
      <c r="AD6" s="90">
        <f>(AC6-AA6)/(AB6-Z6)</f>
        <v>-8.6054730098658343</v>
      </c>
      <c r="AE6" s="90">
        <f>(AC6*Z6-AA6*AB6)/(Z6-AB6)</f>
        <v>176.60841405610469</v>
      </c>
      <c r="AF6" s="2"/>
      <c r="AG6" s="15"/>
    </row>
    <row r="7" spans="2:33" x14ac:dyDescent="0.2">
      <c r="B7" s="119" t="s">
        <v>23</v>
      </c>
      <c r="C7" s="17">
        <f>C2+1</f>
        <v>1</v>
      </c>
      <c r="D7" s="18">
        <f>'Panel Calculations'!D55</f>
        <v>33.56</v>
      </c>
      <c r="E7" s="19">
        <f>'Panel Calculations'!E55</f>
        <v>24.625311707198858</v>
      </c>
      <c r="F7" s="20"/>
      <c r="G7" s="19">
        <f>IF(Information!$H$18="x",D7,0)</f>
        <v>33.56</v>
      </c>
      <c r="H7" s="19">
        <f>IF(Information!$H$18="x",E7,0)</f>
        <v>24.625311707198858</v>
      </c>
      <c r="I7" s="19"/>
      <c r="J7" s="19"/>
      <c r="K7" s="19">
        <f>K6</f>
        <v>33.56</v>
      </c>
      <c r="L7" s="19">
        <f>L6</f>
        <v>24.625311707198858</v>
      </c>
      <c r="M7" s="21"/>
      <c r="N7" s="19">
        <f t="shared" ref="N7" si="2">N6</f>
        <v>0</v>
      </c>
      <c r="O7" s="19">
        <f t="shared" ref="O7:P7" si="3">O6</f>
        <v>0</v>
      </c>
      <c r="P7" s="22">
        <f t="shared" si="3"/>
        <v>0</v>
      </c>
      <c r="Q7" s="14"/>
      <c r="R7" s="14"/>
      <c r="S7" s="15"/>
      <c r="T7" s="14"/>
      <c r="U7" s="14"/>
      <c r="V7" s="15"/>
      <c r="Y7" s="1" t="s">
        <v>9</v>
      </c>
      <c r="Z7" s="15">
        <f>'Panel Calculations'!D14</f>
        <v>2</v>
      </c>
      <c r="AA7" s="15">
        <f>'Panel Calculations'!E14</f>
        <v>63.86</v>
      </c>
      <c r="AB7" s="15">
        <f>'Panel Calculations'!D15</f>
        <v>12.7</v>
      </c>
      <c r="AC7" s="15">
        <f>'Panel Calculations'!E15</f>
        <v>63.86</v>
      </c>
      <c r="AD7" s="90">
        <f>(AC7-AA7)/(AB7-Z7)</f>
        <v>0</v>
      </c>
      <c r="AE7" s="90">
        <f>(AC7*Z7-AA7*AB7)/(Z7-AB7)</f>
        <v>63.859999999999992</v>
      </c>
      <c r="AF7" s="15">
        <f>(AE6-AE7)/(AD7-AD6)</f>
        <v>13.101942673789472</v>
      </c>
      <c r="AG7" s="15">
        <f>AF7*AD7+AE7</f>
        <v>63.859999999999992</v>
      </c>
    </row>
    <row r="8" spans="2:33" x14ac:dyDescent="0.2">
      <c r="B8" s="120"/>
      <c r="C8" s="2"/>
      <c r="D8" s="23"/>
      <c r="E8" s="24"/>
      <c r="F8" s="24"/>
      <c r="G8" s="25"/>
      <c r="H8" s="25"/>
      <c r="I8" s="25"/>
      <c r="J8" s="25"/>
      <c r="K8" s="25">
        <f>K7</f>
        <v>33.56</v>
      </c>
      <c r="L8" s="25">
        <f>L7</f>
        <v>24.625311707198858</v>
      </c>
      <c r="M8" s="26"/>
      <c r="N8" s="25">
        <v>0</v>
      </c>
      <c r="O8" s="25">
        <f>O5+N8</f>
        <v>0</v>
      </c>
      <c r="P8" s="28">
        <f>(((D6-D7)^2+(E6-E7)^2)^0.5)*Information!$D$20</f>
        <v>0</v>
      </c>
      <c r="Q8" s="88">
        <f t="shared" ref="Q8:Q59" si="4">P8/2</f>
        <v>0</v>
      </c>
      <c r="R8" s="88">
        <f t="shared" ref="R8:R59" si="5">-Q8</f>
        <v>0</v>
      </c>
      <c r="S8" s="89">
        <f t="shared" ref="S8:S59" si="6">(Q8-T8)*2</f>
        <v>0</v>
      </c>
      <c r="T8" s="88">
        <f>(($E$67-$E$66)*(O8-$F$66)/($F$67-$F$66)+$E$66)/2</f>
        <v>0</v>
      </c>
      <c r="U8" s="88">
        <f t="shared" ref="U8:U44" si="7">-T8</f>
        <v>0</v>
      </c>
      <c r="V8" s="89">
        <f>IF(C7&gt;0,L8,"")</f>
        <v>24.625311707198858</v>
      </c>
    </row>
    <row r="9" spans="2:33" x14ac:dyDescent="0.2">
      <c r="B9" s="120"/>
      <c r="C9" s="2"/>
      <c r="D9" s="9">
        <f>'Panel Calculations'!D56</f>
        <v>22.687435928399573</v>
      </c>
      <c r="E9" s="9">
        <f>'Panel Calculations'!E56</f>
        <v>71.094896966547083</v>
      </c>
      <c r="F9" s="11"/>
      <c r="G9" s="10">
        <f>IF(Information!$H$18="x",D9,0)</f>
        <v>22.687435928399573</v>
      </c>
      <c r="H9" s="10">
        <f>IF(Information!$H$18="x",E9,0)</f>
        <v>71.094896966547083</v>
      </c>
      <c r="I9" s="10">
        <f>SUM(D9:D10)/2</f>
        <v>28.123717964199788</v>
      </c>
      <c r="J9" s="10">
        <f>SUM(E9:E10)/2</f>
        <v>71.407090040296083</v>
      </c>
      <c r="K9" s="10">
        <f>IF(Information!$H$17="x",I9,0)</f>
        <v>28.123717964199788</v>
      </c>
      <c r="L9" s="10">
        <f>IF(Information!$H$17="x",J9,0)</f>
        <v>71.407090040296083</v>
      </c>
      <c r="M9" s="12"/>
      <c r="N9" s="10">
        <f t="shared" ref="N9:O9" si="8">N8</f>
        <v>0</v>
      </c>
      <c r="O9" s="10">
        <f t="shared" si="8"/>
        <v>0</v>
      </c>
      <c r="P9" s="13">
        <f t="shared" ref="P9" si="9">P8</f>
        <v>0</v>
      </c>
      <c r="Q9" s="88">
        <f t="shared" ref="Q9:Q11" si="10">P9/2</f>
        <v>0</v>
      </c>
      <c r="R9" s="88">
        <f t="shared" ref="R9:R11" si="11">-Q9</f>
        <v>0</v>
      </c>
      <c r="S9" s="89">
        <f t="shared" ref="S9:S11" si="12">(Q9-T9)*2</f>
        <v>0</v>
      </c>
      <c r="T9" s="88">
        <f>(($E$67-$E$66)*(O9-$F$66)/($F$67-$F$66)+$E$66)/2</f>
        <v>0</v>
      </c>
      <c r="U9" s="88">
        <f t="shared" ref="U9:U11" si="13">-T9</f>
        <v>0</v>
      </c>
      <c r="V9" s="89">
        <f>IF(C10&gt;0,L9,"")</f>
        <v>71.407090040296083</v>
      </c>
      <c r="Y9" s="1" t="s">
        <v>80</v>
      </c>
      <c r="Z9" s="15">
        <f>'Panel Calculations'!D51</f>
        <v>33.56</v>
      </c>
      <c r="AA9" s="15">
        <f>'Panel Calculations'!E51</f>
        <v>84.36</v>
      </c>
      <c r="AB9" s="15">
        <f>Z9+10*'Panel Calculations'!Q23</f>
        <v>34.13427681583309</v>
      </c>
      <c r="AC9" s="15">
        <f>AA9+10*'Panel Calculations'!P23</f>
        <v>94.343496688976089</v>
      </c>
      <c r="AD9" s="90">
        <f>(AC9-AA9)/(AB9-Z9)</f>
        <v>17.384467583796336</v>
      </c>
      <c r="AE9" s="90">
        <f>(AC9*Z9-AA9*AB9)/(Z9-AB9)</f>
        <v>-499.06273211220491</v>
      </c>
      <c r="AF9" s="2"/>
      <c r="AG9" s="15"/>
    </row>
    <row r="10" spans="2:33" x14ac:dyDescent="0.2">
      <c r="B10" s="121"/>
      <c r="C10" s="17">
        <f>C7+1</f>
        <v>2</v>
      </c>
      <c r="D10" s="18">
        <f>D7</f>
        <v>33.56</v>
      </c>
      <c r="E10" s="19">
        <f>E9+(D10-D9)*Q3</f>
        <v>71.719283114045083</v>
      </c>
      <c r="F10" s="20"/>
      <c r="G10" s="19">
        <f>IF(Information!$H$18="x",D10,0)</f>
        <v>33.56</v>
      </c>
      <c r="H10" s="19">
        <f>IF(Information!$H$18="x",E10,0)</f>
        <v>71.719283114045083</v>
      </c>
      <c r="I10" s="19"/>
      <c r="J10" s="19"/>
      <c r="K10" s="19">
        <f>K9</f>
        <v>28.123717964199788</v>
      </c>
      <c r="L10" s="19">
        <f>L9</f>
        <v>71.407090040296083</v>
      </c>
      <c r="M10" s="21"/>
      <c r="N10" s="19">
        <f t="shared" ref="N10:O10" si="14">N9</f>
        <v>0</v>
      </c>
      <c r="O10" s="19">
        <f t="shared" si="14"/>
        <v>0</v>
      </c>
      <c r="P10" s="22">
        <f t="shared" ref="P10" si="15">P9</f>
        <v>0</v>
      </c>
      <c r="Q10" s="88">
        <f t="shared" si="10"/>
        <v>0</v>
      </c>
      <c r="R10" s="88">
        <f t="shared" si="11"/>
        <v>0</v>
      </c>
      <c r="S10" s="89">
        <f t="shared" si="12"/>
        <v>0</v>
      </c>
      <c r="T10" s="88">
        <f>(($E$67-$E$66)*(O10-$F$66)/($F$67-$F$66)+$E$66)/2</f>
        <v>0</v>
      </c>
      <c r="U10" s="88">
        <f t="shared" si="13"/>
        <v>0</v>
      </c>
      <c r="V10" s="89">
        <f>IF(C10&gt;0,L10,"")</f>
        <v>71.407090040296083</v>
      </c>
      <c r="Y10" s="1" t="s">
        <v>20</v>
      </c>
      <c r="Z10" s="15">
        <f>'Panel Calculations'!D55</f>
        <v>33.56</v>
      </c>
      <c r="AA10" s="15">
        <f>'Panel Calculations'!E55</f>
        <v>24.625311707198858</v>
      </c>
      <c r="AB10" s="15">
        <f>'Panel Calculations'!D56</f>
        <v>22.687435928399573</v>
      </c>
      <c r="AC10" s="15">
        <f>'Panel Calculations'!E56</f>
        <v>71.094896966547083</v>
      </c>
      <c r="AD10" s="90">
        <f>(AC10-AA10)/(AB10-Z10)</f>
        <v>-4.2740226641412606</v>
      </c>
      <c r="AE10" s="90">
        <f>(AC10*Z10-AA10*AB10)/(Z10-AB10)</f>
        <v>168.06151231577962</v>
      </c>
      <c r="AF10" s="15">
        <f>(AE9-AE10)/(AD10-AD9)</f>
        <v>30.80197358130771</v>
      </c>
      <c r="AG10" s="15">
        <f>AF10*AD10+AE10</f>
        <v>36.413179128990123</v>
      </c>
    </row>
    <row r="11" spans="2:33" x14ac:dyDescent="0.2">
      <c r="B11" s="121"/>
      <c r="C11" s="2"/>
      <c r="D11" s="23"/>
      <c r="E11" s="24"/>
      <c r="F11" s="24"/>
      <c r="G11" s="25"/>
      <c r="H11" s="25"/>
      <c r="I11" s="25"/>
      <c r="J11" s="25"/>
      <c r="K11" s="25">
        <f>K10</f>
        <v>28.123717964199788</v>
      </c>
      <c r="L11" s="25">
        <f>L10</f>
        <v>71.407090040296083</v>
      </c>
      <c r="M11" s="26"/>
      <c r="N11" s="25">
        <f>((I9-I6)^2+(J9-J6)^2)^0.5</f>
        <v>47.096581047670639</v>
      </c>
      <c r="O11" s="25">
        <f>O8+N11</f>
        <v>47.096581047670639</v>
      </c>
      <c r="P11" s="28">
        <f>(((D9-D10)^2+(E9-E10)^2)^0.5)*Information!$D$20</f>
        <v>343.70348058506585</v>
      </c>
      <c r="Q11" s="88">
        <f t="shared" si="10"/>
        <v>171.85174029253292</v>
      </c>
      <c r="R11" s="88">
        <f t="shared" si="11"/>
        <v>-171.85174029253292</v>
      </c>
      <c r="S11" s="89">
        <f t="shared" si="12"/>
        <v>-1.1481618429343143E-4</v>
      </c>
      <c r="T11" s="88">
        <f>(($E$67-$E$66)*(O11-$F$66)/($F$67-$F$66)+$E$66)/2</f>
        <v>171.85179770062507</v>
      </c>
      <c r="U11" s="88">
        <f t="shared" si="13"/>
        <v>-171.85179770062507</v>
      </c>
      <c r="V11" s="89">
        <f>IF(C10&gt;0,L11,"")</f>
        <v>71.407090040296083</v>
      </c>
    </row>
    <row r="12" spans="2:33" x14ac:dyDescent="0.2">
      <c r="B12" s="121"/>
      <c r="C12" s="2"/>
      <c r="D12" s="9">
        <f>'Panel Calculations'!D56</f>
        <v>22.687435928399573</v>
      </c>
      <c r="E12" s="9">
        <f>'Panel Calculations'!E56</f>
        <v>71.094896966547083</v>
      </c>
      <c r="F12" s="11"/>
      <c r="G12" s="10">
        <f>IF(Information!$H$18="x",D12,0)</f>
        <v>22.687435928399573</v>
      </c>
      <c r="H12" s="10">
        <f>IF(Information!$H$18="x",E12,0)</f>
        <v>71.094896966547083</v>
      </c>
      <c r="I12" s="10">
        <f>SUM(D12:D13)/2</f>
        <v>28.123717964199788</v>
      </c>
      <c r="J12" s="10">
        <f>SUM(E12:E13)/2</f>
        <v>74.567269261784816</v>
      </c>
      <c r="K12" s="10">
        <f>IF(Information!$H$17="x",I12,0)</f>
        <v>28.123717964199788</v>
      </c>
      <c r="L12" s="10">
        <f>IF(Information!$H$17="x",J12,0)</f>
        <v>74.567269261784816</v>
      </c>
      <c r="M12" s="12"/>
      <c r="N12" s="10">
        <f t="shared" ref="N12:O12" si="16">N11</f>
        <v>47.096581047670639</v>
      </c>
      <c r="O12" s="10">
        <f t="shared" si="16"/>
        <v>47.096581047670639</v>
      </c>
      <c r="P12" s="13">
        <f t="shared" ref="P12" si="17">P11</f>
        <v>343.70348058506585</v>
      </c>
      <c r="Q12" s="88">
        <f t="shared" ref="Q12:Q14" si="18">P12/2</f>
        <v>171.85174029253292</v>
      </c>
      <c r="R12" s="88">
        <f t="shared" ref="R12:R14" si="19">-Q12</f>
        <v>-171.85174029253292</v>
      </c>
      <c r="S12" s="89">
        <f t="shared" ref="S12:S14" si="20">(Q12-T12)*2</f>
        <v>-1.1481618429343143E-4</v>
      </c>
      <c r="T12" s="88">
        <f>(($E$67-$E$66)*(O12-$F$66)/($F$67-$F$66)+$E$66)/2</f>
        <v>171.85179770062507</v>
      </c>
      <c r="U12" s="88">
        <f t="shared" ref="U12:U14" si="21">-T12</f>
        <v>-171.85179770062507</v>
      </c>
      <c r="V12" s="89">
        <f>IF(C13&gt;0,L12,"")</f>
        <v>74.567269261784816</v>
      </c>
      <c r="Y12" s="39" t="s">
        <v>41</v>
      </c>
      <c r="Z12" s="38">
        <f>((AB6-AF7)^2+(AC6-AG7)^2)^0.5</f>
        <v>49.191172440307518</v>
      </c>
    </row>
    <row r="13" spans="2:33" x14ac:dyDescent="0.2">
      <c r="B13" s="121"/>
      <c r="C13" s="17">
        <f>C10+1</f>
        <v>3</v>
      </c>
      <c r="D13" s="18">
        <f>D10</f>
        <v>33.56</v>
      </c>
      <c r="E13" s="19">
        <f>(E10+'Panel Calculations'!E51)/2</f>
        <v>78.039641557022549</v>
      </c>
      <c r="F13" s="20"/>
      <c r="G13" s="19">
        <f>IF(Information!$H$18="x",D13,0)</f>
        <v>33.56</v>
      </c>
      <c r="H13" s="19">
        <f>IF(Information!$H$18="x",E13,0)</f>
        <v>78.039641557022549</v>
      </c>
      <c r="I13" s="19"/>
      <c r="J13" s="19"/>
      <c r="K13" s="19">
        <f>K12</f>
        <v>28.123717964199788</v>
      </c>
      <c r="L13" s="19">
        <f>L12</f>
        <v>74.567269261784816</v>
      </c>
      <c r="M13" s="21"/>
      <c r="N13" s="19">
        <f t="shared" ref="N13:O13" si="22">N12</f>
        <v>47.096581047670639</v>
      </c>
      <c r="O13" s="19">
        <f t="shared" si="22"/>
        <v>47.096581047670639</v>
      </c>
      <c r="P13" s="22">
        <f t="shared" ref="P13" si="23">P12</f>
        <v>343.70348058506585</v>
      </c>
      <c r="Q13" s="88">
        <f t="shared" si="18"/>
        <v>171.85174029253292</v>
      </c>
      <c r="R13" s="88">
        <f t="shared" si="19"/>
        <v>-171.85174029253292</v>
      </c>
      <c r="S13" s="89">
        <f t="shared" si="20"/>
        <v>-1.1481618429343143E-4</v>
      </c>
      <c r="T13" s="88">
        <f>(($E$67-$E$66)*(O13-$F$66)/($F$67-$F$66)+$E$66)/2</f>
        <v>171.85179770062507</v>
      </c>
      <c r="U13" s="88">
        <f t="shared" si="21"/>
        <v>-171.85179770062507</v>
      </c>
      <c r="V13" s="89">
        <f>IF(C13&gt;0,L13,"")</f>
        <v>74.567269261784816</v>
      </c>
    </row>
    <row r="14" spans="2:33" x14ac:dyDescent="0.2">
      <c r="B14" s="121"/>
      <c r="C14" s="2"/>
      <c r="D14" s="23"/>
      <c r="E14" s="24"/>
      <c r="F14" s="24"/>
      <c r="G14" s="25"/>
      <c r="H14" s="25"/>
      <c r="I14" s="25"/>
      <c r="J14" s="25"/>
      <c r="K14" s="25">
        <f>K13</f>
        <v>28.123717964199788</v>
      </c>
      <c r="L14" s="25">
        <f>L13</f>
        <v>74.567269261784816</v>
      </c>
      <c r="M14" s="26"/>
      <c r="N14" s="25">
        <f>((I12-I9)^2+(J12-J9)^2)^0.5</f>
        <v>3.1601792214887325</v>
      </c>
      <c r="O14" s="25">
        <f>O11+N14</f>
        <v>50.256760269159372</v>
      </c>
      <c r="P14" s="28">
        <f>(((D12-D13)^2+(E12-E13)^2)^0.5)*Information!$D$20</f>
        <v>407.16329754262881</v>
      </c>
      <c r="Q14" s="88">
        <f t="shared" si="18"/>
        <v>203.58164877131441</v>
      </c>
      <c r="R14" s="88">
        <f t="shared" si="19"/>
        <v>-203.58164877131441</v>
      </c>
      <c r="S14" s="89">
        <f t="shared" si="20"/>
        <v>40.397200864723459</v>
      </c>
      <c r="T14" s="88">
        <f>(($E$67-$E$66)*(O14-$F$66)/($F$67-$F$66)+$E$66)/2</f>
        <v>183.38304833895268</v>
      </c>
      <c r="U14" s="88">
        <f t="shared" si="21"/>
        <v>-183.38304833895268</v>
      </c>
      <c r="V14" s="89">
        <f>IF(C13&gt;0,L14,"")</f>
        <v>74.567269261784816</v>
      </c>
    </row>
    <row r="15" spans="2:33" x14ac:dyDescent="0.2">
      <c r="B15" s="121"/>
      <c r="C15" s="2"/>
      <c r="D15" s="9">
        <f>D12</f>
        <v>22.687435928399573</v>
      </c>
      <c r="E15" s="10">
        <f>E12</f>
        <v>71.094896966547083</v>
      </c>
      <c r="F15" s="11"/>
      <c r="G15" s="10">
        <f>IF(Information!$H$18="x",D15,0)</f>
        <v>22.687435928399573</v>
      </c>
      <c r="H15" s="10">
        <f>IF(Information!$H$18="x",E15,0)</f>
        <v>71.094896966547083</v>
      </c>
      <c r="I15" s="10">
        <f>SUM(D15:D16)/2</f>
        <v>25.215130918005951</v>
      </c>
      <c r="J15" s="10">
        <f>SUM(E15:E16)/2</f>
        <v>77.727448483273548</v>
      </c>
      <c r="K15" s="10">
        <f>IF(Information!$H$17="x",I15,0)</f>
        <v>25.215130918005951</v>
      </c>
      <c r="L15" s="10">
        <f>IF(Information!$H$17="x",J15,0)</f>
        <v>77.727448483273548</v>
      </c>
      <c r="M15" s="12"/>
      <c r="N15" s="10">
        <f t="shared" ref="N15" si="24">N14</f>
        <v>3.1601792214887325</v>
      </c>
      <c r="O15" s="10">
        <f t="shared" ref="O15:P15" si="25">O14</f>
        <v>50.256760269159372</v>
      </c>
      <c r="P15" s="13">
        <f t="shared" si="25"/>
        <v>407.16329754262881</v>
      </c>
      <c r="Q15" s="88">
        <f t="shared" si="4"/>
        <v>203.58164877131441</v>
      </c>
      <c r="R15" s="88">
        <f t="shared" si="5"/>
        <v>-203.58164877131441</v>
      </c>
      <c r="S15" s="89">
        <f t="shared" si="6"/>
        <v>40.397200864723459</v>
      </c>
      <c r="T15" s="88">
        <f>(($E$67-$E$66)*(O15-$F$66)/($F$67-$F$66)+$E$66)/2</f>
        <v>183.38304833895268</v>
      </c>
      <c r="U15" s="88">
        <f t="shared" si="7"/>
        <v>-183.38304833895268</v>
      </c>
      <c r="V15" s="89">
        <f>IF(C16&gt;0,L15,"")</f>
        <v>77.727448483273548</v>
      </c>
    </row>
    <row r="16" spans="2:33" x14ac:dyDescent="0.2">
      <c r="B16" s="121"/>
      <c r="C16" s="17">
        <f>C13+1</f>
        <v>4</v>
      </c>
      <c r="D16" s="18">
        <f>(D13+D19)/2</f>
        <v>27.742825907612328</v>
      </c>
      <c r="E16" s="19">
        <f>'Panel Calculations'!E51</f>
        <v>84.36</v>
      </c>
      <c r="F16" s="20"/>
      <c r="G16" s="19">
        <f>IF(Information!$H$18="x",D16,0)</f>
        <v>27.742825907612328</v>
      </c>
      <c r="H16" s="19">
        <f>IF(Information!$H$18="x",E16,0)</f>
        <v>84.36</v>
      </c>
      <c r="I16" s="19"/>
      <c r="J16" s="19"/>
      <c r="K16" s="19">
        <f>K15</f>
        <v>25.215130918005951</v>
      </c>
      <c r="L16" s="19">
        <f>L15</f>
        <v>77.727448483273548</v>
      </c>
      <c r="M16" s="21"/>
      <c r="N16" s="19">
        <f t="shared" ref="N16" si="26">N15</f>
        <v>3.1601792214887325</v>
      </c>
      <c r="O16" s="19">
        <f t="shared" ref="O16:P16" si="27">O15</f>
        <v>50.256760269159372</v>
      </c>
      <c r="P16" s="22">
        <f t="shared" si="27"/>
        <v>407.16329754262881</v>
      </c>
      <c r="Q16" s="88">
        <f t="shared" si="4"/>
        <v>203.58164877131441</v>
      </c>
      <c r="R16" s="88">
        <f t="shared" si="5"/>
        <v>-203.58164877131441</v>
      </c>
      <c r="S16" s="89">
        <f t="shared" si="6"/>
        <v>40.397200864723459</v>
      </c>
      <c r="T16" s="88">
        <f>(($E$67-$E$66)*(O16-$F$66)/($F$67-$F$66)+$E$66)/2</f>
        <v>183.38304833895268</v>
      </c>
      <c r="U16" s="88">
        <f t="shared" si="7"/>
        <v>-183.38304833895268</v>
      </c>
      <c r="V16" s="89">
        <f>IF(C16&gt;0,L16,"")</f>
        <v>77.727448483273548</v>
      </c>
    </row>
    <row r="17" spans="2:22" x14ac:dyDescent="0.2">
      <c r="B17" s="121"/>
      <c r="C17" s="2"/>
      <c r="D17" s="23"/>
      <c r="E17" s="24"/>
      <c r="F17" s="24"/>
      <c r="G17" s="25"/>
      <c r="H17" s="25"/>
      <c r="I17" s="25"/>
      <c r="J17" s="25"/>
      <c r="K17" s="25">
        <f>K16</f>
        <v>25.215130918005951</v>
      </c>
      <c r="L17" s="25">
        <f>L16</f>
        <v>77.727448483273548</v>
      </c>
      <c r="M17" s="26"/>
      <c r="N17" s="25">
        <f>((I15-I12)^2+(J15-J12)^2)^0.5</f>
        <v>4.2949518410822396</v>
      </c>
      <c r="O17" s="25">
        <f>O14+N17</f>
        <v>54.55171211024161</v>
      </c>
      <c r="P17" s="28">
        <f>(((D15-D16)^2+(E15-E16)^2)^0.5)*Information!$D$20</f>
        <v>448.01854614987877</v>
      </c>
      <c r="Q17" s="88">
        <f t="shared" si="4"/>
        <v>224.00927307493939</v>
      </c>
      <c r="R17" s="88">
        <f t="shared" si="5"/>
        <v>-224.00927307493939</v>
      </c>
      <c r="S17" s="89">
        <f t="shared" si="6"/>
        <v>49.908552377596209</v>
      </c>
      <c r="T17" s="88">
        <f>(($E$67-$E$66)*(O17-$F$66)/($F$67-$F$66)+$E$66)/2</f>
        <v>199.05499688614128</v>
      </c>
      <c r="U17" s="88">
        <f t="shared" si="7"/>
        <v>-199.05499688614128</v>
      </c>
      <c r="V17" s="89">
        <f>IF(C16&gt;0,L17,"")</f>
        <v>77.727448483273548</v>
      </c>
    </row>
    <row r="18" spans="2:22" x14ac:dyDescent="0.2">
      <c r="B18" s="121"/>
      <c r="C18" s="2"/>
      <c r="D18" s="9">
        <f>D15</f>
        <v>22.687435928399573</v>
      </c>
      <c r="E18" s="10">
        <f>E15</f>
        <v>71.094896966547083</v>
      </c>
      <c r="F18" s="11"/>
      <c r="G18" s="10">
        <f>IF(Information!$H$18="x",D18,0)</f>
        <v>22.687435928399573</v>
      </c>
      <c r="H18" s="10">
        <f>IF(Information!$H$18="x",E18,0)</f>
        <v>71.094896966547083</v>
      </c>
      <c r="I18" s="10">
        <f>SUM(D18:D19)/2</f>
        <v>22.306543871812114</v>
      </c>
      <c r="J18" s="10">
        <f>SUM(E18:E19)/2</f>
        <v>77.727448483273548</v>
      </c>
      <c r="K18" s="10">
        <f>IF(Information!$H$17="x",I18,0)</f>
        <v>22.306543871812114</v>
      </c>
      <c r="L18" s="10">
        <f>IF(Information!$H$17="x",J18,0)</f>
        <v>77.727448483273548</v>
      </c>
      <c r="M18" s="12"/>
      <c r="N18" s="10">
        <f t="shared" ref="N18" si="28">N17</f>
        <v>4.2949518410822396</v>
      </c>
      <c r="O18" s="10">
        <f t="shared" ref="O18:P18" si="29">O17</f>
        <v>54.55171211024161</v>
      </c>
      <c r="P18" s="13">
        <f t="shared" si="29"/>
        <v>448.01854614987877</v>
      </c>
      <c r="Q18" s="88">
        <f t="shared" si="4"/>
        <v>224.00927307493939</v>
      </c>
      <c r="R18" s="88">
        <f t="shared" si="5"/>
        <v>-224.00927307493939</v>
      </c>
      <c r="S18" s="89">
        <f t="shared" si="6"/>
        <v>49.908552377596209</v>
      </c>
      <c r="T18" s="88">
        <f>(($E$67-$E$66)*(O18-$F$66)/($F$67-$F$66)+$E$66)/2</f>
        <v>199.05499688614128</v>
      </c>
      <c r="U18" s="88">
        <f t="shared" si="7"/>
        <v>-199.05499688614128</v>
      </c>
      <c r="V18" s="89">
        <f>IF(C19&gt;0,L18,"")</f>
        <v>77.727448483273548</v>
      </c>
    </row>
    <row r="19" spans="2:22" x14ac:dyDescent="0.2">
      <c r="B19" s="121"/>
      <c r="C19" s="17">
        <f>C16+1</f>
        <v>5</v>
      </c>
      <c r="D19" s="18">
        <f>D18-(E19-E18)*Q3</f>
        <v>21.925651815224654</v>
      </c>
      <c r="E19" s="19">
        <f>E16</f>
        <v>84.36</v>
      </c>
      <c r="F19" s="20"/>
      <c r="G19" s="19">
        <f>IF(Information!$H$18="x",D19,0)</f>
        <v>21.925651815224654</v>
      </c>
      <c r="H19" s="19">
        <f>IF(Information!$H$18="x",E19,0)</f>
        <v>84.36</v>
      </c>
      <c r="I19" s="19"/>
      <c r="J19" s="19"/>
      <c r="K19" s="19">
        <f>K18</f>
        <v>22.306543871812114</v>
      </c>
      <c r="L19" s="19">
        <f>L18</f>
        <v>77.727448483273548</v>
      </c>
      <c r="M19" s="21"/>
      <c r="N19" s="19">
        <f t="shared" ref="N19" si="30">N18</f>
        <v>4.2949518410822396</v>
      </c>
      <c r="O19" s="19">
        <f t="shared" ref="O19:P19" si="31">O18</f>
        <v>54.55171211024161</v>
      </c>
      <c r="P19" s="22">
        <f t="shared" si="31"/>
        <v>448.01854614987877</v>
      </c>
      <c r="Q19" s="88">
        <f t="shared" si="4"/>
        <v>224.00927307493939</v>
      </c>
      <c r="R19" s="88">
        <f t="shared" si="5"/>
        <v>-224.00927307493939</v>
      </c>
      <c r="S19" s="89">
        <f t="shared" si="6"/>
        <v>49.908552377596209</v>
      </c>
      <c r="T19" s="88">
        <f>(($E$67-$E$66)*(O19-$F$66)/($F$67-$F$66)+$E$66)/2</f>
        <v>199.05499688614128</v>
      </c>
      <c r="U19" s="88">
        <f t="shared" si="7"/>
        <v>-199.05499688614128</v>
      </c>
      <c r="V19" s="89">
        <f>IF(C19&gt;0,L19,"")</f>
        <v>77.727448483273548</v>
      </c>
    </row>
    <row r="20" spans="2:22" x14ac:dyDescent="0.2">
      <c r="B20" s="121"/>
      <c r="C20" s="2"/>
      <c r="D20" s="23"/>
      <c r="E20" s="24"/>
      <c r="F20" s="24"/>
      <c r="G20" s="25"/>
      <c r="H20" s="25"/>
      <c r="I20" s="25"/>
      <c r="J20" s="25"/>
      <c r="K20" s="25">
        <f>K19</f>
        <v>22.306543871812114</v>
      </c>
      <c r="L20" s="25">
        <f>L19</f>
        <v>77.727448483273548</v>
      </c>
      <c r="M20" s="26"/>
      <c r="N20" s="25">
        <f>((I18-I15)^2+(J18-J15)^2)^0.5</f>
        <v>2.908587046193837</v>
      </c>
      <c r="O20" s="25">
        <f>O17+N20</f>
        <v>57.460299156435447</v>
      </c>
      <c r="P20" s="28">
        <f>(((D18-D19)^2+(E18-E19)^2)^0.5)*Information!$D$20</f>
        <v>419.33641898016089</v>
      </c>
      <c r="Q20" s="88">
        <f t="shared" si="4"/>
        <v>209.66820949008044</v>
      </c>
      <c r="R20" s="88">
        <f t="shared" si="5"/>
        <v>-209.66820949008044</v>
      </c>
      <c r="S20" s="89">
        <f t="shared" si="6"/>
        <v>4.8802021979099663E-6</v>
      </c>
      <c r="T20" s="88">
        <f>(($E$67-$E$66)*(O20-$F$66)/($F$67-$F$66)+$E$66)/2</f>
        <v>209.66820704997934</v>
      </c>
      <c r="U20" s="88">
        <f t="shared" si="7"/>
        <v>-209.66820704997934</v>
      </c>
      <c r="V20" s="89">
        <f>IF(C19&gt;0,L20,"")</f>
        <v>77.727448483273548</v>
      </c>
    </row>
    <row r="21" spans="2:22" x14ac:dyDescent="0.2">
      <c r="B21" s="121"/>
      <c r="C21" s="2"/>
      <c r="D21" s="9">
        <f>'Panel Calculations'!D57</f>
        <v>20.740028923806697</v>
      </c>
      <c r="E21" s="10">
        <f>'Panel Calculations'!E57</f>
        <v>70.639258997911242</v>
      </c>
      <c r="F21" s="11"/>
      <c r="G21" s="10">
        <f>IF(Information!$H$18="x",D21,0)</f>
        <v>20.740028923806697</v>
      </c>
      <c r="H21" s="10">
        <f>IF(Information!$H$18="x",E21,0)</f>
        <v>70.639258997911242</v>
      </c>
      <c r="I21" s="10">
        <f>SUM(D21:D22)/2</f>
        <v>20.346053751129197</v>
      </c>
      <c r="J21" s="10">
        <f>SUM(E21:E22)/2</f>
        <v>77.499629498955613</v>
      </c>
      <c r="K21" s="10">
        <f>IF(Information!$H$17="x",I21,0)</f>
        <v>20.346053751129197</v>
      </c>
      <c r="L21" s="10">
        <f>IF(Information!$H$17="x",J21,0)</f>
        <v>77.499629498955613</v>
      </c>
      <c r="M21" s="12"/>
      <c r="N21" s="10">
        <f t="shared" ref="N21:P21" si="32">N20</f>
        <v>2.908587046193837</v>
      </c>
      <c r="O21" s="10">
        <f t="shared" si="32"/>
        <v>57.460299156435447</v>
      </c>
      <c r="P21" s="13">
        <f t="shared" si="32"/>
        <v>419.33641898016089</v>
      </c>
      <c r="Q21" s="88">
        <f t="shared" si="4"/>
        <v>209.66820949008044</v>
      </c>
      <c r="R21" s="88">
        <f t="shared" si="5"/>
        <v>-209.66820949008044</v>
      </c>
      <c r="S21" s="89">
        <f t="shared" si="6"/>
        <v>4.8802021979099663E-6</v>
      </c>
      <c r="T21" s="88">
        <f>(($E$67-$E$66)*(O21-$F$66)/($F$67-$F$66)+$E$66)/2</f>
        <v>209.66820704997934</v>
      </c>
      <c r="U21" s="88">
        <f t="shared" si="7"/>
        <v>-209.66820704997934</v>
      </c>
      <c r="V21" s="89">
        <f>IF(C22&gt;0,L21,"")</f>
        <v>77.499629498955613</v>
      </c>
    </row>
    <row r="22" spans="2:22" x14ac:dyDescent="0.2">
      <c r="B22" s="121"/>
      <c r="C22" s="17">
        <f>C19+1</f>
        <v>6</v>
      </c>
      <c r="D22" s="18">
        <f>D21-(E22-E21)*Q3</f>
        <v>19.952078578451694</v>
      </c>
      <c r="E22" s="19">
        <f>E19</f>
        <v>84.36</v>
      </c>
      <c r="F22" s="20"/>
      <c r="G22" s="19">
        <f>IF(Information!$H$18="x",D22,0)</f>
        <v>19.952078578451694</v>
      </c>
      <c r="H22" s="19">
        <f>IF(Information!$H$18="x",E22,0)</f>
        <v>84.36</v>
      </c>
      <c r="I22" s="19"/>
      <c r="J22" s="19"/>
      <c r="K22" s="19">
        <f>K21</f>
        <v>20.346053751129197</v>
      </c>
      <c r="L22" s="19">
        <f>L21</f>
        <v>77.499629498955613</v>
      </c>
      <c r="M22" s="21"/>
      <c r="N22" s="19">
        <f t="shared" ref="N22:P22" si="33">N21</f>
        <v>2.908587046193837</v>
      </c>
      <c r="O22" s="19">
        <f t="shared" si="33"/>
        <v>57.460299156435447</v>
      </c>
      <c r="P22" s="22">
        <f t="shared" si="33"/>
        <v>419.33641898016089</v>
      </c>
      <c r="Q22" s="88">
        <f t="shared" si="4"/>
        <v>209.66820949008044</v>
      </c>
      <c r="R22" s="88">
        <f t="shared" si="5"/>
        <v>-209.66820949008044</v>
      </c>
      <c r="S22" s="89">
        <f t="shared" si="6"/>
        <v>4.8802021979099663E-6</v>
      </c>
      <c r="T22" s="88">
        <f>(($E$67-$E$66)*(O22-$F$66)/($F$67-$F$66)+$E$66)/2</f>
        <v>209.66820704997934</v>
      </c>
      <c r="U22" s="88">
        <f t="shared" si="7"/>
        <v>-209.66820704997934</v>
      </c>
      <c r="V22" s="89">
        <f>IF(C22&gt;0,L22,"")</f>
        <v>77.499629498955613</v>
      </c>
    </row>
    <row r="23" spans="2:22" x14ac:dyDescent="0.2">
      <c r="B23" s="121"/>
      <c r="C23" s="2"/>
      <c r="D23" s="23"/>
      <c r="E23" s="24"/>
      <c r="F23" s="24"/>
      <c r="G23" s="25"/>
      <c r="H23" s="25"/>
      <c r="I23" s="25"/>
      <c r="J23" s="25"/>
      <c r="K23" s="25">
        <f>K22</f>
        <v>20.346053751129197</v>
      </c>
      <c r="L23" s="25">
        <f>L22</f>
        <v>77.499629498955613</v>
      </c>
      <c r="M23" s="26"/>
      <c r="N23" s="25">
        <f>((I21-I18)^2+(J21-J18)^2)^0.5</f>
        <v>1.9736825993332794</v>
      </c>
      <c r="O23" s="25">
        <f>O20+N23</f>
        <v>59.433981755768727</v>
      </c>
      <c r="P23" s="28">
        <f>(((D21-D22)^2+(E21-E22)^2)^0.5)*Information!$D$20</f>
        <v>433.74004582250842</v>
      </c>
      <c r="Q23" s="88">
        <f t="shared" si="4"/>
        <v>216.87002291125421</v>
      </c>
      <c r="R23" s="88">
        <f t="shared" si="5"/>
        <v>-216.87002291125421</v>
      </c>
      <c r="S23" s="89">
        <f t="shared" si="6"/>
        <v>6.8585222834371962E-8</v>
      </c>
      <c r="T23" s="88">
        <f>(($E$67-$E$66)*(O23-$F$66)/($F$67-$F$66)+$E$66)/2</f>
        <v>216.8700228769616</v>
      </c>
      <c r="U23" s="88">
        <f t="shared" si="7"/>
        <v>-216.8700228769616</v>
      </c>
      <c r="V23" s="89">
        <f>IF(C22&gt;0,L23,"")</f>
        <v>77.499629498955613</v>
      </c>
    </row>
    <row r="24" spans="2:22" x14ac:dyDescent="0.2">
      <c r="B24" s="121"/>
      <c r="C24" s="2"/>
      <c r="D24" s="9">
        <f>D21</f>
        <v>20.740028923806697</v>
      </c>
      <c r="E24" s="10">
        <f>E21</f>
        <v>70.639258997911242</v>
      </c>
      <c r="F24" s="11"/>
      <c r="G24" s="10">
        <f>IF(Information!$H$18="x",D24,0)</f>
        <v>20.740028923806697</v>
      </c>
      <c r="H24" s="10">
        <f>IF(Information!$H$18="x",E24,0)</f>
        <v>70.639258997911242</v>
      </c>
      <c r="I24" s="10">
        <f>SUM(D24:D25)/2</f>
        <v>16.358034106516271</v>
      </c>
      <c r="J24" s="10">
        <f>SUM(E24:E25)/2</f>
        <v>77.499629498955613</v>
      </c>
      <c r="K24" s="10">
        <f>IF(Information!$H$17="x",I24,0)</f>
        <v>16.358034106516271</v>
      </c>
      <c r="L24" s="10">
        <f>IF(Information!$H$17="x",J24,0)</f>
        <v>77.499629498955613</v>
      </c>
      <c r="M24" s="12"/>
      <c r="N24" s="10">
        <f t="shared" ref="N24:P24" si="34">N23</f>
        <v>1.9736825993332794</v>
      </c>
      <c r="O24" s="10">
        <f t="shared" si="34"/>
        <v>59.433981755768727</v>
      </c>
      <c r="P24" s="13">
        <f t="shared" si="34"/>
        <v>433.74004582250842</v>
      </c>
      <c r="Q24" s="88">
        <f t="shared" si="4"/>
        <v>216.87002291125421</v>
      </c>
      <c r="R24" s="88">
        <f t="shared" si="5"/>
        <v>-216.87002291125421</v>
      </c>
      <c r="S24" s="89">
        <f t="shared" si="6"/>
        <v>6.8585222834371962E-8</v>
      </c>
      <c r="T24" s="88">
        <f>(($E$67-$E$66)*(O24-$F$66)/($F$67-$F$66)+$E$66)/2</f>
        <v>216.8700228769616</v>
      </c>
      <c r="U24" s="88">
        <f t="shared" si="7"/>
        <v>-216.8700228769616</v>
      </c>
      <c r="V24" s="89">
        <f>IF(C25&gt;0,L24,"")</f>
        <v>77.499629498955613</v>
      </c>
    </row>
    <row r="25" spans="2:22" x14ac:dyDescent="0.2">
      <c r="B25" s="121"/>
      <c r="C25" s="17">
        <f>C22+1</f>
        <v>7</v>
      </c>
      <c r="D25" s="18">
        <f>('Panel Calculations'!D33+D22)/2</f>
        <v>11.976039289225847</v>
      </c>
      <c r="E25" s="19">
        <f>E22</f>
        <v>84.36</v>
      </c>
      <c r="F25" s="20"/>
      <c r="G25" s="19">
        <f>IF(Information!$H$18="x",D25,0)</f>
        <v>11.976039289225847</v>
      </c>
      <c r="H25" s="19">
        <f>IF(Information!$H$18="x",E25,0)</f>
        <v>84.36</v>
      </c>
      <c r="I25" s="19"/>
      <c r="J25" s="19"/>
      <c r="K25" s="19">
        <f>K24</f>
        <v>16.358034106516271</v>
      </c>
      <c r="L25" s="19">
        <f>L24</f>
        <v>77.499629498955613</v>
      </c>
      <c r="M25" s="21"/>
      <c r="N25" s="19">
        <f t="shared" ref="N25:P25" si="35">N24</f>
        <v>1.9736825993332794</v>
      </c>
      <c r="O25" s="19">
        <f t="shared" si="35"/>
        <v>59.433981755768727</v>
      </c>
      <c r="P25" s="22">
        <f t="shared" si="35"/>
        <v>433.74004582250842</v>
      </c>
      <c r="Q25" s="88">
        <f t="shared" si="4"/>
        <v>216.87002291125421</v>
      </c>
      <c r="R25" s="88">
        <f t="shared" si="5"/>
        <v>-216.87002291125421</v>
      </c>
      <c r="S25" s="89">
        <f t="shared" si="6"/>
        <v>6.8585222834371962E-8</v>
      </c>
      <c r="T25" s="88">
        <f>(($E$67-$E$66)*(O25-$F$66)/($F$67-$F$66)+$E$66)/2</f>
        <v>216.8700228769616</v>
      </c>
      <c r="U25" s="88">
        <f t="shared" si="7"/>
        <v>-216.8700228769616</v>
      </c>
      <c r="V25" s="89">
        <f>IF(C25&gt;0,L25,"")</f>
        <v>77.499629498955613</v>
      </c>
    </row>
    <row r="26" spans="2:22" x14ac:dyDescent="0.2">
      <c r="B26" s="121"/>
      <c r="C26" s="2"/>
      <c r="D26" s="23"/>
      <c r="E26" s="24"/>
      <c r="F26" s="24"/>
      <c r="G26" s="25"/>
      <c r="H26" s="25"/>
      <c r="I26" s="25"/>
      <c r="J26" s="25"/>
      <c r="K26" s="25">
        <f>K25</f>
        <v>16.358034106516271</v>
      </c>
      <c r="L26" s="25">
        <f>L25</f>
        <v>77.499629498955613</v>
      </c>
      <c r="M26" s="26"/>
      <c r="N26" s="25">
        <f>((I24-I21)^2+(J24-J21)^2)^0.5</f>
        <v>3.9880196446129261</v>
      </c>
      <c r="O26" s="25">
        <f>O23+N26</f>
        <v>63.422001400381653</v>
      </c>
      <c r="P26" s="28">
        <f>(((D24-D25)^2+(E24-E25)^2)^0.5)*Information!$D$20</f>
        <v>513.82379197106661</v>
      </c>
      <c r="Q26" s="88">
        <f t="shared" si="4"/>
        <v>256.91189598553331</v>
      </c>
      <c r="R26" s="88">
        <f t="shared" si="5"/>
        <v>-256.91189598553331</v>
      </c>
      <c r="S26" s="89">
        <f t="shared" si="6"/>
        <v>50.979793023664797</v>
      </c>
      <c r="T26" s="88">
        <f>(($E$67-$E$66)*(O26-$F$66)/($F$67-$F$66)+$E$66)/2</f>
        <v>231.42199947370091</v>
      </c>
      <c r="U26" s="88">
        <f t="shared" si="7"/>
        <v>-231.42199947370091</v>
      </c>
      <c r="V26" s="89">
        <f>IF(C25&gt;0,L26,"")</f>
        <v>77.499629498955613</v>
      </c>
    </row>
    <row r="27" spans="2:22" x14ac:dyDescent="0.2">
      <c r="B27" s="121"/>
      <c r="C27" s="2"/>
      <c r="D27" s="9">
        <f>D24</f>
        <v>20.740028923806697</v>
      </c>
      <c r="E27" s="10">
        <f>E24</f>
        <v>70.639258997911242</v>
      </c>
      <c r="F27" s="11"/>
      <c r="G27" s="10">
        <f>IF(Information!$H$18="x",D27,0)</f>
        <v>20.740028923806697</v>
      </c>
      <c r="H27" s="10">
        <f>IF(Information!$H$18="x",E27,0)</f>
        <v>70.639258997911242</v>
      </c>
      <c r="I27" s="10">
        <f>SUM(D27:D28)/2</f>
        <v>12.370014461903349</v>
      </c>
      <c r="J27" s="10">
        <f>SUM(E27:E28)/2</f>
        <v>73.829108985750494</v>
      </c>
      <c r="K27" s="10">
        <f>IF(Information!$H$17="x",I27,0)</f>
        <v>12.370014461903349</v>
      </c>
      <c r="L27" s="10">
        <f>IF(Information!$H$17="x",J27,0)</f>
        <v>73.829108985750494</v>
      </c>
      <c r="M27" s="12"/>
      <c r="N27" s="10">
        <f t="shared" ref="N27:P27" si="36">N26</f>
        <v>3.9880196446129261</v>
      </c>
      <c r="O27" s="10">
        <f t="shared" si="36"/>
        <v>63.422001400381653</v>
      </c>
      <c r="P27" s="13">
        <f t="shared" si="36"/>
        <v>513.82379197106661</v>
      </c>
      <c r="Q27" s="88">
        <f t="shared" si="4"/>
        <v>256.91189598553331</v>
      </c>
      <c r="R27" s="88">
        <f t="shared" si="5"/>
        <v>-256.91189598553331</v>
      </c>
      <c r="S27" s="89">
        <f t="shared" si="6"/>
        <v>50.979793023664797</v>
      </c>
      <c r="T27" s="88">
        <f>(($E$67-$E$66)*(O27-$F$66)/($F$67-$F$66)+$E$66)/2</f>
        <v>231.42199947370091</v>
      </c>
      <c r="U27" s="88">
        <f t="shared" si="7"/>
        <v>-231.42199947370091</v>
      </c>
      <c r="V27" s="89">
        <f>IF(C28&gt;0,L27,"")</f>
        <v>73.829108985750494</v>
      </c>
    </row>
    <row r="28" spans="2:22" x14ac:dyDescent="0.2">
      <c r="B28" s="121"/>
      <c r="C28" s="17">
        <f>C25+1</f>
        <v>8</v>
      </c>
      <c r="D28" s="18">
        <f>D31</f>
        <v>4</v>
      </c>
      <c r="E28" s="19">
        <f>(E25+E31)/2</f>
        <v>77.018958973589747</v>
      </c>
      <c r="F28" s="20"/>
      <c r="G28" s="19">
        <f>IF(Information!$H$18="x",D28,0)</f>
        <v>4</v>
      </c>
      <c r="H28" s="19">
        <f>IF(Information!$H$18="x",E28,0)</f>
        <v>77.018958973589747</v>
      </c>
      <c r="I28" s="19"/>
      <c r="J28" s="19"/>
      <c r="K28" s="19">
        <f>K27</f>
        <v>12.370014461903349</v>
      </c>
      <c r="L28" s="19">
        <f>L27</f>
        <v>73.829108985750494</v>
      </c>
      <c r="M28" s="21"/>
      <c r="N28" s="19">
        <f t="shared" ref="N28:P28" si="37">N27</f>
        <v>3.9880196446129261</v>
      </c>
      <c r="O28" s="19">
        <f t="shared" si="37"/>
        <v>63.422001400381653</v>
      </c>
      <c r="P28" s="22">
        <f t="shared" si="37"/>
        <v>513.82379197106661</v>
      </c>
      <c r="Q28" s="88">
        <f t="shared" si="4"/>
        <v>256.91189598553331</v>
      </c>
      <c r="R28" s="88">
        <f t="shared" si="5"/>
        <v>-256.91189598553331</v>
      </c>
      <c r="S28" s="89">
        <f t="shared" si="6"/>
        <v>50.979793023664797</v>
      </c>
      <c r="T28" s="88">
        <f>(($E$67-$E$66)*(O28-$F$66)/($F$67-$F$66)+$E$66)/2</f>
        <v>231.42199947370091</v>
      </c>
      <c r="U28" s="88">
        <f t="shared" si="7"/>
        <v>-231.42199947370091</v>
      </c>
      <c r="V28" s="89">
        <f>IF(C28&gt;0,L28,"")</f>
        <v>73.829108985750494</v>
      </c>
    </row>
    <row r="29" spans="2:22" x14ac:dyDescent="0.2">
      <c r="B29" s="121"/>
      <c r="C29" s="2"/>
      <c r="D29" s="23"/>
      <c r="E29" s="24"/>
      <c r="F29" s="24"/>
      <c r="G29" s="25"/>
      <c r="H29" s="25"/>
      <c r="I29" s="25"/>
      <c r="J29" s="25"/>
      <c r="K29" s="25">
        <f>K28</f>
        <v>12.370014461903349</v>
      </c>
      <c r="L29" s="25">
        <f>L28</f>
        <v>73.829108985750494</v>
      </c>
      <c r="M29" s="26"/>
      <c r="N29" s="25">
        <f>((I27-I24)^2+(J27-J24)^2)^0.5</f>
        <v>5.4200573358294051</v>
      </c>
      <c r="O29" s="25">
        <f>O26+N29</f>
        <v>68.842058736211058</v>
      </c>
      <c r="P29" s="28">
        <f>(((D27-D28)^2+(E27-E28)^2)^0.5)*Information!$D$20</f>
        <v>565.3814701668847</v>
      </c>
      <c r="Q29" s="88">
        <f t="shared" si="4"/>
        <v>282.69073508344235</v>
      </c>
      <c r="R29" s="88">
        <f t="shared" si="5"/>
        <v>-282.69073508344235</v>
      </c>
      <c r="S29" s="89">
        <f t="shared" si="6"/>
        <v>62.982727495731751</v>
      </c>
      <c r="T29" s="88">
        <f>(($E$67-$E$66)*(O29-$F$66)/($F$67-$F$66)+$E$66)/2</f>
        <v>251.19937133557647</v>
      </c>
      <c r="U29" s="88">
        <f t="shared" si="7"/>
        <v>-251.19937133557647</v>
      </c>
      <c r="V29" s="89">
        <f>IF(C28&gt;0,L29,"")</f>
        <v>73.829108985750494</v>
      </c>
    </row>
    <row r="30" spans="2:22" x14ac:dyDescent="0.2">
      <c r="B30" s="121"/>
      <c r="C30" s="2"/>
      <c r="D30" s="9">
        <f>D27</f>
        <v>20.740028923806697</v>
      </c>
      <c r="E30" s="10">
        <f>E27</f>
        <v>70.639258997911242</v>
      </c>
      <c r="F30" s="11"/>
      <c r="G30" s="10">
        <f>IF(Information!$H$18="x",D30,0)</f>
        <v>20.740028923806697</v>
      </c>
      <c r="H30" s="10">
        <f>IF(Information!$H$18="x",E30,0)</f>
        <v>70.639258997911242</v>
      </c>
      <c r="I30" s="10">
        <f>SUM(D30:D31)/2</f>
        <v>12.370014461903349</v>
      </c>
      <c r="J30" s="10">
        <f>SUM(E30:E31)/2</f>
        <v>70.158588472545375</v>
      </c>
      <c r="K30" s="10">
        <f>IF(Information!$H$17="x",I30,0)</f>
        <v>12.370014461903349</v>
      </c>
      <c r="L30" s="10">
        <f>IF(Information!$H$17="x",J30,0)</f>
        <v>70.158588472545375</v>
      </c>
      <c r="M30" s="12"/>
      <c r="N30" s="10">
        <f t="shared" ref="N30:P30" si="38">N29</f>
        <v>5.4200573358294051</v>
      </c>
      <c r="O30" s="10">
        <f t="shared" si="38"/>
        <v>68.842058736211058</v>
      </c>
      <c r="P30" s="13">
        <f t="shared" si="38"/>
        <v>565.3814701668847</v>
      </c>
      <c r="Q30" s="88">
        <f t="shared" si="4"/>
        <v>282.69073508344235</v>
      </c>
      <c r="R30" s="88">
        <f t="shared" si="5"/>
        <v>-282.69073508344235</v>
      </c>
      <c r="S30" s="89">
        <f t="shared" si="6"/>
        <v>62.982727495731751</v>
      </c>
      <c r="T30" s="88">
        <f>(($E$67-$E$66)*(O30-$F$66)/($F$67-$F$66)+$E$66)/2</f>
        <v>251.19937133557647</v>
      </c>
      <c r="U30" s="88">
        <f t="shared" si="7"/>
        <v>-251.19937133557647</v>
      </c>
      <c r="V30" s="89">
        <f>IF(C31&gt;0,L30,"")</f>
        <v>70.158588472545375</v>
      </c>
    </row>
    <row r="31" spans="2:22" x14ac:dyDescent="0.2">
      <c r="B31" s="121"/>
      <c r="C31" s="17">
        <f>C28+1</f>
        <v>9</v>
      </c>
      <c r="D31" s="18">
        <f>'Panel Calculations'!D33</f>
        <v>4</v>
      </c>
      <c r="E31" s="19">
        <f>E30-(D30-D31)*Q3</f>
        <v>69.677917947179495</v>
      </c>
      <c r="F31" s="20"/>
      <c r="G31" s="19">
        <f>IF(Information!$H$18="x",D31,0)</f>
        <v>4</v>
      </c>
      <c r="H31" s="19">
        <f>IF(Information!$H$18="x",E31,0)</f>
        <v>69.677917947179495</v>
      </c>
      <c r="I31" s="19"/>
      <c r="J31" s="19"/>
      <c r="K31" s="19">
        <f>K30</f>
        <v>12.370014461903349</v>
      </c>
      <c r="L31" s="19">
        <f>L30</f>
        <v>70.158588472545375</v>
      </c>
      <c r="M31" s="21"/>
      <c r="N31" s="19">
        <f t="shared" ref="N31:P31" si="39">N30</f>
        <v>5.4200573358294051</v>
      </c>
      <c r="O31" s="19">
        <f t="shared" si="39"/>
        <v>68.842058736211058</v>
      </c>
      <c r="P31" s="22">
        <f t="shared" si="39"/>
        <v>565.3814701668847</v>
      </c>
      <c r="Q31" s="88">
        <f t="shared" si="4"/>
        <v>282.69073508344235</v>
      </c>
      <c r="R31" s="88">
        <f t="shared" si="5"/>
        <v>-282.69073508344235</v>
      </c>
      <c r="S31" s="89">
        <f t="shared" si="6"/>
        <v>62.982727495731751</v>
      </c>
      <c r="T31" s="88">
        <f>(($E$67-$E$66)*(O31-$F$66)/($F$67-$F$66)+$E$66)/2</f>
        <v>251.19937133557647</v>
      </c>
      <c r="U31" s="88">
        <f t="shared" si="7"/>
        <v>-251.19937133557647</v>
      </c>
      <c r="V31" s="89">
        <f>IF(C31&gt;0,L31,"")</f>
        <v>70.158588472545375</v>
      </c>
    </row>
    <row r="32" spans="2:22" x14ac:dyDescent="0.2">
      <c r="B32" s="121"/>
      <c r="C32" s="2"/>
      <c r="D32" s="23"/>
      <c r="E32" s="24"/>
      <c r="F32" s="24"/>
      <c r="G32" s="25"/>
      <c r="H32" s="25"/>
      <c r="I32" s="25"/>
      <c r="J32" s="25"/>
      <c r="K32" s="25">
        <f>K31</f>
        <v>12.370014461903349</v>
      </c>
      <c r="L32" s="25">
        <f>L31</f>
        <v>70.158588472545375</v>
      </c>
      <c r="M32" s="26"/>
      <c r="N32" s="25">
        <f>((I30-I27)^2+(J30-J27)^2)^0.5</f>
        <v>3.6705205132051191</v>
      </c>
      <c r="O32" s="25">
        <f>O29+N32</f>
        <v>72.512579249416177</v>
      </c>
      <c r="P32" s="28">
        <f>(((D30-D31)^2+(E30-E31)^2)^0.5)*Information!$D$20</f>
        <v>529.18577148105146</v>
      </c>
      <c r="Q32" s="88">
        <f t="shared" si="4"/>
        <v>264.59288574052573</v>
      </c>
      <c r="R32" s="88">
        <f t="shared" si="5"/>
        <v>-264.59288574052573</v>
      </c>
      <c r="S32" s="89">
        <f t="shared" si="6"/>
        <v>1.3538114421862701E-4</v>
      </c>
      <c r="T32" s="88">
        <f>(($E$67-$E$66)*(O32-$F$66)/($F$67-$F$66)+$E$66)/2</f>
        <v>264.59281804995362</v>
      </c>
      <c r="U32" s="88">
        <f t="shared" si="7"/>
        <v>-264.59281804995362</v>
      </c>
      <c r="V32" s="89">
        <f>IF(C31&gt;0,L32,"")</f>
        <v>70.158588472545375</v>
      </c>
    </row>
    <row r="33" spans="2:33" x14ac:dyDescent="0.2">
      <c r="B33" s="121"/>
      <c r="C33" s="2"/>
      <c r="D33" s="9">
        <f>'Panel Calculations'!D34</f>
        <v>4</v>
      </c>
      <c r="E33" s="10">
        <f>'Panel Calculations'!E34</f>
        <v>14.148849797023002</v>
      </c>
      <c r="F33" s="11"/>
      <c r="G33" s="10">
        <f>IF(Information!$H$18="x",D33,0)</f>
        <v>4</v>
      </c>
      <c r="H33" s="10">
        <f>IF(Information!$H$18="x",E33,0)</f>
        <v>14.148849797023002</v>
      </c>
      <c r="I33" s="10">
        <f>SUM(D33:D34)/2</f>
        <v>18.78</v>
      </c>
      <c r="J33" s="10">
        <f>SUM(E33:E34)/2</f>
        <v>14.997630930824307</v>
      </c>
      <c r="K33" s="10">
        <f>IF(Information!$H$17="x",I33,0)</f>
        <v>18.78</v>
      </c>
      <c r="L33" s="10">
        <f>IF(Information!$H$17="x",J33,0)</f>
        <v>14.997630930824307</v>
      </c>
      <c r="M33" s="12"/>
      <c r="N33" s="10">
        <f t="shared" ref="N33:P33" si="40">N32</f>
        <v>3.6705205132051191</v>
      </c>
      <c r="O33" s="10">
        <f t="shared" si="40"/>
        <v>72.512579249416177</v>
      </c>
      <c r="P33" s="13">
        <f t="shared" si="40"/>
        <v>529.18577148105146</v>
      </c>
      <c r="Q33" s="88">
        <f t="shared" si="4"/>
        <v>264.59288574052573</v>
      </c>
      <c r="R33" s="88">
        <f t="shared" si="5"/>
        <v>-264.59288574052573</v>
      </c>
      <c r="S33" s="89">
        <f t="shared" si="6"/>
        <v>1.3538114421862701E-4</v>
      </c>
      <c r="T33" s="88">
        <f>(($E$67-$E$66)*(O33-$F$66)/($F$67-$F$66)+$E$66)/2</f>
        <v>264.59281804995362</v>
      </c>
      <c r="U33" s="88">
        <f t="shared" si="7"/>
        <v>-264.59281804995362</v>
      </c>
      <c r="V33" s="89">
        <f>IF(C34&gt;0,L33,"")</f>
        <v>14.997630930824307</v>
      </c>
      <c r="Y33" s="1" t="s">
        <v>83</v>
      </c>
      <c r="Z33" s="15">
        <f>'Panel Calculations'!D57</f>
        <v>20.740028923806697</v>
      </c>
      <c r="AA33" s="15">
        <f>'Panel Calculations'!E57</f>
        <v>70.639258997911242</v>
      </c>
      <c r="AB33" s="15">
        <f>Z33-10*'Panel Calculations'!Q23</f>
        <v>20.16575210797361</v>
      </c>
      <c r="AC33" s="15">
        <f>AA33-10*'Panel Calculations'!P23</f>
        <v>60.655762308935152</v>
      </c>
      <c r="AD33" s="90">
        <f>(AC33-AA33)/(AB33-Z33)</f>
        <v>17.384467583796336</v>
      </c>
      <c r="AE33" s="90">
        <f>(AC33*Z33-AA33*AB33)/(Z33-AB33)</f>
        <v>-289.91510151500455</v>
      </c>
      <c r="AF33" s="2"/>
      <c r="AG33" s="15"/>
    </row>
    <row r="34" spans="2:33" x14ac:dyDescent="0.2">
      <c r="B34" s="180" t="s">
        <v>39</v>
      </c>
      <c r="C34" s="17">
        <f>C31+1</f>
        <v>10</v>
      </c>
      <c r="D34" s="18">
        <f>D6</f>
        <v>33.56</v>
      </c>
      <c r="E34" s="19">
        <f>E33+(D34-D33)*Q3</f>
        <v>15.846412064625614</v>
      </c>
      <c r="F34" s="20"/>
      <c r="G34" s="19">
        <f>IF(Information!$H$18="x",D34,0)</f>
        <v>33.56</v>
      </c>
      <c r="H34" s="19">
        <f>IF(Information!$H$18="x",E34,0)</f>
        <v>15.846412064625614</v>
      </c>
      <c r="I34" s="19"/>
      <c r="J34" s="19"/>
      <c r="K34" s="19">
        <f>K33</f>
        <v>18.78</v>
      </c>
      <c r="L34" s="19">
        <f>L33</f>
        <v>14.997630930824307</v>
      </c>
      <c r="M34" s="21"/>
      <c r="N34" s="19">
        <f t="shared" ref="N34:P34" si="41">N33</f>
        <v>3.6705205132051191</v>
      </c>
      <c r="O34" s="19">
        <f t="shared" si="41"/>
        <v>72.512579249416177</v>
      </c>
      <c r="P34" s="22">
        <f t="shared" si="41"/>
        <v>529.18577148105146</v>
      </c>
      <c r="Q34" s="88">
        <f t="shared" si="4"/>
        <v>264.59288574052573</v>
      </c>
      <c r="R34" s="88">
        <f t="shared" si="5"/>
        <v>-264.59288574052573</v>
      </c>
      <c r="S34" s="89">
        <f t="shared" si="6"/>
        <v>1.3538114421862701E-4</v>
      </c>
      <c r="T34" s="88">
        <f>(($E$67-$E$66)*(O34-$F$66)/($F$67-$F$66)+$E$66)/2</f>
        <v>264.59281804995362</v>
      </c>
      <c r="U34" s="88">
        <f t="shared" si="7"/>
        <v>-264.59281804995362</v>
      </c>
      <c r="V34" s="89">
        <f>IF(C34&gt;0,L34,"")</f>
        <v>14.997630930824307</v>
      </c>
      <c r="Y34" s="1" t="s">
        <v>83</v>
      </c>
      <c r="Z34" s="15">
        <f>'Panel Calculations'!D64</f>
        <v>0</v>
      </c>
      <c r="AA34" s="15">
        <f>'Panel Calculations'!E64</f>
        <v>14.148849797023002</v>
      </c>
      <c r="AB34" s="15">
        <f>'Panel Calculations'!D63</f>
        <v>23.411150202976998</v>
      </c>
      <c r="AC34" s="15">
        <f>'Panel Calculations'!E63</f>
        <v>14.148849797023002</v>
      </c>
      <c r="AD34" s="90">
        <f>(AC34-AA34)/(AB34-Z34)</f>
        <v>0</v>
      </c>
      <c r="AE34" s="90">
        <f>(AC34*Z34-AA34*AB34)/(Z34-AB34)</f>
        <v>14.148849797023002</v>
      </c>
      <c r="AF34" s="15">
        <f>(AE33-AE34)/(AD34-AD33)</f>
        <v>17.49055298049154</v>
      </c>
      <c r="AG34" s="15">
        <f>AF34*AD34+AE34</f>
        <v>14.148849797023002</v>
      </c>
    </row>
    <row r="35" spans="2:33" x14ac:dyDescent="0.2">
      <c r="B35" s="121"/>
      <c r="C35" s="2"/>
      <c r="D35" s="23"/>
      <c r="E35" s="24"/>
      <c r="F35" s="24"/>
      <c r="G35" s="25"/>
      <c r="H35" s="25"/>
      <c r="I35" s="25"/>
      <c r="J35" s="25"/>
      <c r="K35" s="25">
        <f>K34</f>
        <v>18.78</v>
      </c>
      <c r="L35" s="25">
        <f>L34</f>
        <v>14.997630930824307</v>
      </c>
      <c r="M35" s="26"/>
      <c r="N35" s="25">
        <f>((I33-I30)^2+(J33-J30)^2)^0.5</f>
        <v>55.532145209042326</v>
      </c>
      <c r="O35" s="25">
        <f>O32+N35</f>
        <v>128.04472445845852</v>
      </c>
      <c r="P35" s="28">
        <f>(((D33-D34)^2+(E33-E34)^2)^0.5)*Information!$D$20</f>
        <v>934.45067963614429</v>
      </c>
      <c r="Q35" s="88">
        <f t="shared" si="4"/>
        <v>467.22533981807214</v>
      </c>
      <c r="R35" s="88">
        <f t="shared" si="5"/>
        <v>-467.22533981807214</v>
      </c>
      <c r="S35" s="89">
        <f t="shared" si="6"/>
        <v>0</v>
      </c>
      <c r="T35" s="88">
        <f>(($E$67-$E$66)*(O35-$F$66)/($F$67-$F$66)+$E$66)/2</f>
        <v>467.22533981807214</v>
      </c>
      <c r="U35" s="88">
        <f t="shared" si="7"/>
        <v>-467.22533981807214</v>
      </c>
      <c r="V35" s="89">
        <f>IF(C34&gt;0,L35,"")</f>
        <v>14.997630930824307</v>
      </c>
    </row>
    <row r="36" spans="2:33" x14ac:dyDescent="0.2">
      <c r="B36" s="121"/>
      <c r="C36" s="2"/>
      <c r="D36" s="177"/>
      <c r="E36" s="178"/>
      <c r="F36" s="178"/>
      <c r="G36" s="19"/>
      <c r="H36" s="19"/>
      <c r="I36" s="19">
        <f>I39</f>
        <v>28.16093792500547</v>
      </c>
      <c r="J36" s="19">
        <f>J39</f>
        <v>15.53635644693431</v>
      </c>
      <c r="K36" s="19"/>
      <c r="L36" s="19"/>
      <c r="M36" s="12"/>
      <c r="N36" s="10"/>
      <c r="O36" s="10">
        <f t="shared" ref="N36:P36" si="42">O35</f>
        <v>128.04472445845852</v>
      </c>
      <c r="P36" s="13">
        <f t="shared" si="42"/>
        <v>934.45067963614429</v>
      </c>
      <c r="Q36" s="88"/>
      <c r="R36" s="88"/>
      <c r="S36" s="89"/>
      <c r="T36" s="88"/>
      <c r="U36" s="88"/>
      <c r="V36" s="89"/>
    </row>
    <row r="37" spans="2:33" x14ac:dyDescent="0.2">
      <c r="B37" s="121"/>
      <c r="C37" s="2"/>
      <c r="D37" s="177"/>
      <c r="E37" s="178"/>
      <c r="F37" s="178"/>
      <c r="G37" s="19"/>
      <c r="H37" s="19"/>
      <c r="I37" s="19"/>
      <c r="J37" s="19"/>
      <c r="K37" s="19"/>
      <c r="L37" s="19"/>
      <c r="M37" s="21"/>
      <c r="N37" s="19"/>
      <c r="O37" s="19">
        <f t="shared" ref="N37:P37" si="43">O36</f>
        <v>128.04472445845852</v>
      </c>
      <c r="P37" s="22">
        <f t="shared" si="43"/>
        <v>934.45067963614429</v>
      </c>
      <c r="Q37" s="88"/>
      <c r="R37" s="88"/>
      <c r="S37" s="89"/>
      <c r="T37" s="88"/>
      <c r="U37" s="88"/>
      <c r="V37" s="89"/>
    </row>
    <row r="38" spans="2:33" x14ac:dyDescent="0.2">
      <c r="B38" s="121"/>
      <c r="C38" s="2"/>
      <c r="D38" s="177"/>
      <c r="E38" s="178"/>
      <c r="F38" s="178"/>
      <c r="G38" s="19"/>
      <c r="H38" s="19"/>
      <c r="I38" s="19"/>
      <c r="J38" s="19"/>
      <c r="K38" s="19"/>
      <c r="L38" s="19"/>
      <c r="M38" s="26"/>
      <c r="N38" s="25"/>
      <c r="O38" s="25">
        <f>O35+N38</f>
        <v>128.04472445845852</v>
      </c>
      <c r="P38" s="28">
        <f>P37</f>
        <v>934.45067963614429</v>
      </c>
      <c r="Q38" s="88"/>
      <c r="R38" s="88"/>
      <c r="S38" s="89"/>
      <c r="T38" s="88"/>
      <c r="U38" s="88"/>
      <c r="V38" s="89"/>
    </row>
    <row r="39" spans="2:33" x14ac:dyDescent="0.2">
      <c r="B39" s="121"/>
      <c r="C39" s="2"/>
      <c r="D39" s="9">
        <f>AF40</f>
        <v>28.16093792500547</v>
      </c>
      <c r="E39" s="9">
        <f>AG40</f>
        <v>15.53635644693431</v>
      </c>
      <c r="F39" s="11"/>
      <c r="G39" s="10">
        <f>IF(Information!$H$18="x",D39,0)</f>
        <v>28.16093792500547</v>
      </c>
      <c r="H39" s="10">
        <f>IF(Information!$H$18="x",E39,0)</f>
        <v>15.53635644693431</v>
      </c>
      <c r="I39" s="10">
        <f>SUM(D39:D40)/2</f>
        <v>28.16093792500547</v>
      </c>
      <c r="J39" s="10">
        <f>SUM(E39:E40)/2</f>
        <v>15.53635644693431</v>
      </c>
      <c r="K39" s="10">
        <f>IF(Information!$H$17="x",I39,0)</f>
        <v>28.16093792500547</v>
      </c>
      <c r="L39" s="10">
        <f>IF(Information!$H$17="x",J39,0)</f>
        <v>15.53635644693431</v>
      </c>
      <c r="M39" s="12"/>
      <c r="N39" s="10">
        <f t="shared" ref="N39:P39" si="44">N38</f>
        <v>0</v>
      </c>
      <c r="O39" s="10">
        <f t="shared" si="44"/>
        <v>128.04472445845852</v>
      </c>
      <c r="P39" s="13">
        <f>P36</f>
        <v>934.45067963614429</v>
      </c>
      <c r="Q39" s="88">
        <f t="shared" si="4"/>
        <v>467.22533981807214</v>
      </c>
      <c r="R39" s="88">
        <f t="shared" si="5"/>
        <v>-467.22533981807214</v>
      </c>
      <c r="S39" s="89">
        <f t="shared" si="6"/>
        <v>0</v>
      </c>
      <c r="T39" s="88">
        <f>(($E$67-$E$66)*(O39-$F$66)/($F$67-$F$66)+$E$66)/2</f>
        <v>467.22533981807214</v>
      </c>
      <c r="U39" s="88">
        <f t="shared" si="7"/>
        <v>-467.22533981807214</v>
      </c>
      <c r="V39" s="89">
        <f>IF(C40&gt;0,L39,"")</f>
        <v>15.53635644693431</v>
      </c>
      <c r="Y39" s="1" t="s">
        <v>83</v>
      </c>
      <c r="Z39" s="15">
        <f>I42</f>
        <v>28.4855751014885</v>
      </c>
      <c r="AA39" s="15">
        <f>J42</f>
        <v>14.148849797023002</v>
      </c>
      <c r="AB39" s="15">
        <f>Z39-10*Q2</f>
        <v>26.207385258309287</v>
      </c>
      <c r="AC39" s="15">
        <f>AA39+10*P2</f>
        <v>23.885884819987389</v>
      </c>
      <c r="AD39" s="90">
        <f>(AC39-AA39)/(AB39-Z39)</f>
        <v>-4.2740226641412633</v>
      </c>
      <c r="AE39" s="90">
        <f>(AC39*Z39-AA39*AB39)/(Z39-AB39)</f>
        <v>135.89684338188292</v>
      </c>
      <c r="AF39" s="2"/>
      <c r="AG39" s="15"/>
    </row>
    <row r="40" spans="2:33" x14ac:dyDescent="0.2">
      <c r="B40" s="121"/>
      <c r="C40" s="17">
        <f>C34+1</f>
        <v>11</v>
      </c>
      <c r="D40" s="18">
        <f>AF40</f>
        <v>28.16093792500547</v>
      </c>
      <c r="E40" s="19">
        <f>AG40</f>
        <v>15.53635644693431</v>
      </c>
      <c r="F40" s="20"/>
      <c r="G40" s="19">
        <f>IF(Information!$H$18="x",D40,0)</f>
        <v>28.16093792500547</v>
      </c>
      <c r="H40" s="19">
        <f>IF(Information!$H$18="x",E40,0)</f>
        <v>15.53635644693431</v>
      </c>
      <c r="I40" s="19"/>
      <c r="J40" s="19"/>
      <c r="K40" s="19">
        <f>K39</f>
        <v>28.16093792500547</v>
      </c>
      <c r="L40" s="19">
        <f>L39</f>
        <v>15.53635644693431</v>
      </c>
      <c r="M40" s="21"/>
      <c r="N40" s="19">
        <f t="shared" ref="N40:P40" si="45">N39</f>
        <v>0</v>
      </c>
      <c r="O40" s="19">
        <f t="shared" si="45"/>
        <v>128.04472445845852</v>
      </c>
      <c r="P40" s="22">
        <f t="shared" si="45"/>
        <v>934.45067963614429</v>
      </c>
      <c r="Q40" s="88">
        <f t="shared" si="4"/>
        <v>467.22533981807214</v>
      </c>
      <c r="R40" s="88">
        <f t="shared" si="5"/>
        <v>-467.22533981807214</v>
      </c>
      <c r="S40" s="89">
        <f t="shared" si="6"/>
        <v>0</v>
      </c>
      <c r="T40" s="88">
        <f>(($E$67-$E$66)*(O40-$F$66)/($F$67-$F$66)+$E$66)/2</f>
        <v>467.22533981807214</v>
      </c>
      <c r="U40" s="88">
        <f t="shared" si="7"/>
        <v>-467.22533981807214</v>
      </c>
      <c r="V40" s="89">
        <f>IF(C40&gt;0,L40,"")</f>
        <v>15.53635644693431</v>
      </c>
      <c r="Y40" s="1" t="s">
        <v>83</v>
      </c>
      <c r="Z40" s="15">
        <f>D33</f>
        <v>4</v>
      </c>
      <c r="AA40" s="15">
        <f>E33</f>
        <v>14.148849797023002</v>
      </c>
      <c r="AB40" s="15">
        <f>D34</f>
        <v>33.56</v>
      </c>
      <c r="AC40" s="15">
        <f>E34</f>
        <v>15.846412064625614</v>
      </c>
      <c r="AD40" s="90">
        <f>(AC40-AA40)/(AB40-Z40)</f>
        <v>5.7427681583308916E-2</v>
      </c>
      <c r="AE40" s="90">
        <f>(AC40*Z40-AA40*AB40)/(Z40-AB40)</f>
        <v>13.919139070689766</v>
      </c>
      <c r="AF40" s="15">
        <f>(AE39-AE40)/(AD40-AD39)</f>
        <v>28.16093792500547</v>
      </c>
      <c r="AG40" s="15">
        <f>AF40*AD40+AE40</f>
        <v>15.53635644693431</v>
      </c>
    </row>
    <row r="41" spans="2:33" x14ac:dyDescent="0.2">
      <c r="B41" s="122"/>
      <c r="C41" s="2"/>
      <c r="D41" s="23"/>
      <c r="E41" s="24"/>
      <c r="F41" s="24"/>
      <c r="G41" s="25"/>
      <c r="H41" s="25"/>
      <c r="I41" s="25"/>
      <c r="J41" s="25"/>
      <c r="K41" s="25">
        <f>K40</f>
        <v>28.16093792500547</v>
      </c>
      <c r="L41" s="25">
        <f>L40</f>
        <v>15.53635644693431</v>
      </c>
      <c r="M41" s="26"/>
      <c r="N41" s="25">
        <f>((I39-I36)^2+(J39-J36)^2)^0.5</f>
        <v>0</v>
      </c>
      <c r="O41" s="25">
        <f>O38+N41</f>
        <v>128.04472445845852</v>
      </c>
      <c r="P41" s="28">
        <f>P40</f>
        <v>934.45067963614429</v>
      </c>
      <c r="Q41" s="88">
        <f t="shared" si="4"/>
        <v>467.22533981807214</v>
      </c>
      <c r="R41" s="88">
        <f t="shared" si="5"/>
        <v>-467.22533981807214</v>
      </c>
      <c r="S41" s="89">
        <f t="shared" si="6"/>
        <v>0</v>
      </c>
      <c r="T41" s="88">
        <f>(($E$67-$E$66)*(O41-$F$66)/($F$67-$F$66)+$E$66)/2</f>
        <v>467.22533981807214</v>
      </c>
      <c r="U41" s="88">
        <f t="shared" si="7"/>
        <v>-467.22533981807214</v>
      </c>
      <c r="V41" s="89">
        <f>IF(C40&gt;0,L41,"")</f>
        <v>15.53635644693431</v>
      </c>
    </row>
    <row r="42" spans="2:33" x14ac:dyDescent="0.2">
      <c r="B42" s="122"/>
      <c r="C42" s="2"/>
      <c r="D42" s="9">
        <f>D34</f>
        <v>33.56</v>
      </c>
      <c r="E42" s="10">
        <f>E43</f>
        <v>14.148849797023002</v>
      </c>
      <c r="F42" s="11"/>
      <c r="G42" s="10">
        <f>IF(Information!$H$18="x",D42,0)</f>
        <v>33.56</v>
      </c>
      <c r="H42" s="10">
        <f>IF(Information!$H$18="x",E42,0)</f>
        <v>14.148849797023002</v>
      </c>
      <c r="I42" s="10">
        <f>SUM(D42:D43)/2</f>
        <v>28.4855751014885</v>
      </c>
      <c r="J42" s="10">
        <f>SUM(E42:E43)/2</f>
        <v>14.148849797023002</v>
      </c>
      <c r="K42" s="10">
        <f>IF(Information!$H$17="x",I42,0)</f>
        <v>28.4855751014885</v>
      </c>
      <c r="L42" s="10">
        <f>IF(Information!$H$17="x",J42,0)</f>
        <v>14.148849797023002</v>
      </c>
      <c r="M42" s="12"/>
      <c r="N42" s="10">
        <f t="shared" ref="N42:P42" si="46">N41</f>
        <v>0</v>
      </c>
      <c r="O42" s="10">
        <f t="shared" si="46"/>
        <v>128.04472445845852</v>
      </c>
      <c r="P42" s="13">
        <f>P36</f>
        <v>934.45067963614429</v>
      </c>
      <c r="Q42" s="182">
        <f t="shared" si="4"/>
        <v>467.22533981807214</v>
      </c>
      <c r="R42" s="182">
        <f t="shared" si="5"/>
        <v>-467.22533981807214</v>
      </c>
      <c r="S42" s="183">
        <f t="shared" si="6"/>
        <v>0</v>
      </c>
      <c r="T42" s="182">
        <f>(($E$68-$E$67)*(O42-$F$67)/($F$68-$F$67)+$E$67)/2</f>
        <v>467.22533981807214</v>
      </c>
      <c r="U42" s="182">
        <f t="shared" si="7"/>
        <v>-467.22533981807214</v>
      </c>
      <c r="V42" s="183">
        <f>IF(C43&gt;0,L42,"")</f>
        <v>14.148849797023002</v>
      </c>
    </row>
    <row r="43" spans="2:33" x14ac:dyDescent="0.2">
      <c r="B43" s="179"/>
      <c r="C43" s="17">
        <f>C40+1</f>
        <v>12</v>
      </c>
      <c r="D43" s="18">
        <f>'Panel Calculations'!D63</f>
        <v>23.411150202976998</v>
      </c>
      <c r="E43" s="19">
        <f>'Panel Calculations'!E63</f>
        <v>14.148849797023002</v>
      </c>
      <c r="F43" s="20"/>
      <c r="G43" s="19">
        <f>IF(Information!$H$18="x",D43,0)</f>
        <v>23.411150202976998</v>
      </c>
      <c r="H43" s="19">
        <f>IF(Information!$H$18="x",E43,0)</f>
        <v>14.148849797023002</v>
      </c>
      <c r="I43" s="19"/>
      <c r="J43" s="19"/>
      <c r="K43" s="19">
        <f>K42</f>
        <v>28.4855751014885</v>
      </c>
      <c r="L43" s="19">
        <f>L42</f>
        <v>14.148849797023002</v>
      </c>
      <c r="M43" s="21"/>
      <c r="N43" s="19">
        <f t="shared" ref="N43:P43" si="47">N42</f>
        <v>0</v>
      </c>
      <c r="O43" s="19">
        <f t="shared" si="47"/>
        <v>128.04472445845852</v>
      </c>
      <c r="P43" s="22">
        <f t="shared" si="47"/>
        <v>934.45067963614429</v>
      </c>
      <c r="Q43" s="182">
        <f t="shared" si="4"/>
        <v>467.22533981807214</v>
      </c>
      <c r="R43" s="182">
        <f t="shared" si="5"/>
        <v>-467.22533981807214</v>
      </c>
      <c r="S43" s="183">
        <f t="shared" si="6"/>
        <v>0</v>
      </c>
      <c r="T43" s="182">
        <f>(($E$68-$E$67)*(O43-$F$67)/($F$68-$F$67)+$E$67)/2</f>
        <v>467.22533981807214</v>
      </c>
      <c r="U43" s="182">
        <f t="shared" si="7"/>
        <v>-467.22533981807214</v>
      </c>
      <c r="V43" s="183">
        <f>IF(C43&gt;0,L43,"")</f>
        <v>14.148849797023002</v>
      </c>
    </row>
    <row r="44" spans="2:33" x14ac:dyDescent="0.2">
      <c r="B44" s="122"/>
      <c r="C44" s="2"/>
      <c r="D44" s="23"/>
      <c r="E44" s="24"/>
      <c r="F44" s="24"/>
      <c r="G44" s="25"/>
      <c r="H44" s="25"/>
      <c r="I44" s="25"/>
      <c r="J44" s="25"/>
      <c r="K44" s="25">
        <f>K43</f>
        <v>28.4855751014885</v>
      </c>
      <c r="L44" s="25">
        <f>L43</f>
        <v>14.148849797023002</v>
      </c>
      <c r="M44" s="26"/>
      <c r="N44" s="25">
        <f>((I42-I39)^2+(J42-J39)^2)^0.5</f>
        <v>1.4249785962964401</v>
      </c>
      <c r="O44" s="25">
        <f>O41+N44</f>
        <v>129.46970305475494</v>
      </c>
      <c r="P44" s="28">
        <f>(((D42-D43)^2+(E42-E43)^2)^0.5)*Information!$D$20-M44</f>
        <v>320.29769959404604</v>
      </c>
      <c r="Q44" s="182">
        <f t="shared" si="4"/>
        <v>160.14884979702302</v>
      </c>
      <c r="R44" s="182">
        <f t="shared" si="5"/>
        <v>-160.14884979702302</v>
      </c>
      <c r="S44" s="183">
        <f t="shared" si="6"/>
        <v>-350.18676435104402</v>
      </c>
      <c r="T44" s="182">
        <f>(($E$68-$E$67)*(O44-$F$67)/($F$68-$F$67)+$E$67)/2</f>
        <v>335.24223197254503</v>
      </c>
      <c r="U44" s="182">
        <f t="shared" si="7"/>
        <v>-335.24223197254503</v>
      </c>
      <c r="V44" s="183">
        <f>IF(C43&gt;0,L44,"")</f>
        <v>14.148849797023002</v>
      </c>
    </row>
    <row r="45" spans="2:33" x14ac:dyDescent="0.2">
      <c r="B45" s="122"/>
      <c r="C45" s="2"/>
      <c r="D45" s="9">
        <f>D48</f>
        <v>33.56</v>
      </c>
      <c r="E45" s="10">
        <f>'Panel Calculations'!E61</f>
        <v>12.148849797023002</v>
      </c>
      <c r="F45" s="11"/>
      <c r="G45" s="10">
        <f>IF(Information!$H$18="x",D45,0)</f>
        <v>33.56</v>
      </c>
      <c r="H45" s="10">
        <f>IF(Information!$H$18="x",E45,0)</f>
        <v>12.148849797023002</v>
      </c>
      <c r="I45" s="10">
        <f>SUM(D45:D46)/2</f>
        <v>28.4855751014885</v>
      </c>
      <c r="J45" s="10">
        <f>SUM(E45:E46)/2</f>
        <v>12.148849797023002</v>
      </c>
      <c r="K45" s="10">
        <f>IF(Information!$H$17="x",I45,0)</f>
        <v>28.4855751014885</v>
      </c>
      <c r="L45" s="10">
        <f>IF(Information!$H$17="x",J45,0)</f>
        <v>12.148849797023002</v>
      </c>
      <c r="M45" s="12"/>
      <c r="N45" s="10">
        <f t="shared" ref="N45:P45" si="48">N44</f>
        <v>1.4249785962964401</v>
      </c>
      <c r="O45" s="10">
        <f t="shared" si="48"/>
        <v>129.46970305475494</v>
      </c>
      <c r="P45" s="13">
        <f t="shared" si="48"/>
        <v>320.29769959404604</v>
      </c>
      <c r="Q45" s="14">
        <f t="shared" si="4"/>
        <v>160.14884979702302</v>
      </c>
      <c r="R45" s="14">
        <f t="shared" si="5"/>
        <v>-160.14884979702302</v>
      </c>
      <c r="S45" s="15">
        <f t="shared" si="6"/>
        <v>0</v>
      </c>
      <c r="T45" s="14">
        <f>$P$44/2</f>
        <v>160.14884979702302</v>
      </c>
      <c r="U45" s="14">
        <f t="shared" ref="U45:U59" si="49">-T45</f>
        <v>-160.14884979702302</v>
      </c>
      <c r="V45" s="15">
        <f>IF(C46&gt;0,L45,"")</f>
        <v>12.148849797023002</v>
      </c>
    </row>
    <row r="46" spans="2:33" x14ac:dyDescent="0.2">
      <c r="B46" s="180" t="s">
        <v>65</v>
      </c>
      <c r="C46" s="17">
        <f>C43+1</f>
        <v>13</v>
      </c>
      <c r="D46" s="18">
        <f>D49</f>
        <v>23.411150202976998</v>
      </c>
      <c r="E46" s="19">
        <f>E45</f>
        <v>12.148849797023002</v>
      </c>
      <c r="F46" s="20"/>
      <c r="G46" s="19">
        <f>IF(Information!$H$18="x",D46,0)</f>
        <v>23.411150202976998</v>
      </c>
      <c r="H46" s="19">
        <f>IF(Information!$H$18="x",E46,0)</f>
        <v>12.148849797023002</v>
      </c>
      <c r="I46" s="19"/>
      <c r="J46" s="19"/>
      <c r="K46" s="19">
        <f>K45</f>
        <v>28.4855751014885</v>
      </c>
      <c r="L46" s="19">
        <f>L45</f>
        <v>12.148849797023002</v>
      </c>
      <c r="M46" s="21"/>
      <c r="N46" s="19">
        <f t="shared" ref="N46:P46" si="50">N45</f>
        <v>1.4249785962964401</v>
      </c>
      <c r="O46" s="19">
        <f t="shared" si="50"/>
        <v>129.46970305475494</v>
      </c>
      <c r="P46" s="22">
        <f t="shared" si="50"/>
        <v>320.29769959404604</v>
      </c>
      <c r="Q46" s="14">
        <f t="shared" si="4"/>
        <v>160.14884979702302</v>
      </c>
      <c r="R46" s="14">
        <f t="shared" si="5"/>
        <v>-160.14884979702302</v>
      </c>
      <c r="S46" s="15">
        <f t="shared" si="6"/>
        <v>0</v>
      </c>
      <c r="T46" s="14">
        <f t="shared" ref="T46:T59" si="51">$P$44/2</f>
        <v>160.14884979702302</v>
      </c>
      <c r="U46" s="14">
        <f t="shared" si="49"/>
        <v>-160.14884979702302</v>
      </c>
      <c r="V46" s="15">
        <f>IF(C46&gt;0,L46,"")</f>
        <v>12.148849797023002</v>
      </c>
    </row>
    <row r="47" spans="2:33" x14ac:dyDescent="0.2">
      <c r="B47" s="122"/>
      <c r="C47" s="2"/>
      <c r="D47" s="23"/>
      <c r="E47" s="24"/>
      <c r="F47" s="24"/>
      <c r="G47" s="25"/>
      <c r="H47" s="25"/>
      <c r="I47" s="25"/>
      <c r="J47" s="25"/>
      <c r="K47" s="25">
        <f>K46</f>
        <v>28.4855751014885</v>
      </c>
      <c r="L47" s="25">
        <f>L46</f>
        <v>12.148849797023002</v>
      </c>
      <c r="M47" s="26">
        <f>M50</f>
        <v>20.297699594046005</v>
      </c>
      <c r="N47" s="25">
        <f>((I45-I42)^2+(J45-J42)^2)^0.5</f>
        <v>2</v>
      </c>
      <c r="O47" s="25">
        <f>O44+N47</f>
        <v>131.46970305475494</v>
      </c>
      <c r="P47" s="28">
        <f>(((D45-D46)^2+(E45-E46)^2)^0.5)*Information!$D$20-M47</f>
        <v>300.00000000000006</v>
      </c>
      <c r="Q47" s="14">
        <f t="shared" si="4"/>
        <v>150.00000000000003</v>
      </c>
      <c r="R47" s="14">
        <f t="shared" si="5"/>
        <v>-150.00000000000003</v>
      </c>
      <c r="S47" s="15">
        <f t="shared" si="6"/>
        <v>0</v>
      </c>
      <c r="T47" s="14">
        <f>$P$47/2</f>
        <v>150.00000000000003</v>
      </c>
      <c r="U47" s="14">
        <f t="shared" si="49"/>
        <v>-150.00000000000003</v>
      </c>
      <c r="V47" s="15">
        <f>IF(C46&gt;0,L47,"")</f>
        <v>12.148849797023002</v>
      </c>
    </row>
    <row r="48" spans="2:33" x14ac:dyDescent="0.2">
      <c r="B48" s="122"/>
      <c r="C48" s="2"/>
      <c r="D48" s="9">
        <f>D34</f>
        <v>33.56</v>
      </c>
      <c r="E48" s="10">
        <f>(E46+E51)/2</f>
        <v>7.0744248985115012</v>
      </c>
      <c r="F48" s="11"/>
      <c r="G48" s="10">
        <f>IF(Information!$H$18="x",D48,0)</f>
        <v>33.56</v>
      </c>
      <c r="H48" s="10">
        <f>IF(Information!$H$18="x",E48,0)</f>
        <v>7.0744248985115012</v>
      </c>
      <c r="I48" s="10">
        <f>SUM(D48:D49)/2</f>
        <v>28.4855751014885</v>
      </c>
      <c r="J48" s="10">
        <f>SUM(E48:E49)/2</f>
        <v>9.6116373477672514</v>
      </c>
      <c r="K48" s="10">
        <f>IF(Information!$H$17="x",I48,0)</f>
        <v>28.4855751014885</v>
      </c>
      <c r="L48" s="10">
        <f>IF(Information!$H$17="x",J48,0)</f>
        <v>9.6116373477672514</v>
      </c>
      <c r="M48" s="12"/>
      <c r="N48" s="10">
        <f t="shared" ref="N48:P48" si="52">N47</f>
        <v>2</v>
      </c>
      <c r="O48" s="10">
        <f t="shared" si="52"/>
        <v>131.46970305475494</v>
      </c>
      <c r="P48" s="13">
        <f t="shared" si="52"/>
        <v>300.00000000000006</v>
      </c>
      <c r="Q48" s="14">
        <f t="shared" si="4"/>
        <v>150.00000000000003</v>
      </c>
      <c r="R48" s="14">
        <f t="shared" si="5"/>
        <v>-150.00000000000003</v>
      </c>
      <c r="S48" s="15">
        <f t="shared" si="6"/>
        <v>0</v>
      </c>
      <c r="T48" s="14">
        <f t="shared" ref="T48:T59" si="53">$P$47/2</f>
        <v>150.00000000000003</v>
      </c>
      <c r="U48" s="14">
        <f t="shared" si="49"/>
        <v>-150.00000000000003</v>
      </c>
      <c r="V48" s="15">
        <f>IF(C49&gt;0,L48,"")</f>
        <v>9.6116373477672514</v>
      </c>
    </row>
    <row r="49" spans="2:29" x14ac:dyDescent="0.2">
      <c r="B49" s="180"/>
      <c r="C49" s="17">
        <f>C46+1</f>
        <v>14</v>
      </c>
      <c r="D49" s="18">
        <f>D52</f>
        <v>23.411150202976998</v>
      </c>
      <c r="E49" s="19">
        <f>E46</f>
        <v>12.148849797023002</v>
      </c>
      <c r="F49" s="20"/>
      <c r="G49" s="19">
        <f>IF(Information!$H$18="x",D49,0)</f>
        <v>23.411150202976998</v>
      </c>
      <c r="H49" s="19">
        <f>IF(Information!$H$18="x",E49,0)</f>
        <v>12.148849797023002</v>
      </c>
      <c r="I49" s="19"/>
      <c r="J49" s="19"/>
      <c r="K49" s="19">
        <f>K48</f>
        <v>28.4855751014885</v>
      </c>
      <c r="L49" s="19">
        <f>L48</f>
        <v>9.6116373477672514</v>
      </c>
      <c r="M49" s="21"/>
      <c r="N49" s="19">
        <f t="shared" ref="N49:P49" si="54">N48</f>
        <v>2</v>
      </c>
      <c r="O49" s="19">
        <f t="shared" si="54"/>
        <v>131.46970305475494</v>
      </c>
      <c r="P49" s="22">
        <f t="shared" si="54"/>
        <v>300.00000000000006</v>
      </c>
      <c r="Q49" s="14">
        <f t="shared" si="4"/>
        <v>150.00000000000003</v>
      </c>
      <c r="R49" s="14">
        <f t="shared" si="5"/>
        <v>-150.00000000000003</v>
      </c>
      <c r="S49" s="15">
        <f t="shared" si="6"/>
        <v>0</v>
      </c>
      <c r="T49" s="14">
        <f t="shared" si="53"/>
        <v>150.00000000000003</v>
      </c>
      <c r="U49" s="14">
        <f t="shared" si="49"/>
        <v>-150.00000000000003</v>
      </c>
      <c r="V49" s="15">
        <f>IF(C49&gt;0,L49,"")</f>
        <v>9.6116373477672514</v>
      </c>
    </row>
    <row r="50" spans="2:29" x14ac:dyDescent="0.2">
      <c r="B50" s="122"/>
      <c r="C50" s="2"/>
      <c r="D50" s="23"/>
      <c r="E50" s="24"/>
      <c r="F50" s="24"/>
      <c r="G50" s="25"/>
      <c r="H50" s="25"/>
      <c r="I50" s="25"/>
      <c r="J50" s="25"/>
      <c r="K50" s="25">
        <f>K49</f>
        <v>28.4855751014885</v>
      </c>
      <c r="L50" s="25">
        <f>L49</f>
        <v>9.6116373477672514</v>
      </c>
      <c r="M50" s="26">
        <f>'Panel Calculations'!L118*'Panel Calculations'!L119</f>
        <v>20.297699594046005</v>
      </c>
      <c r="N50" s="25">
        <f>((I48-I45)^2+(J48-J45)^2)^0.5</f>
        <v>2.5372124492557511</v>
      </c>
      <c r="O50" s="25">
        <f>O47+N50</f>
        <v>134.00691550401069</v>
      </c>
      <c r="P50" s="28">
        <f>(((D48-D49)^2+(E48-E49)^2)^0.5)*Information!$D$20-M50</f>
        <v>337.80601507050091</v>
      </c>
      <c r="Q50" s="14">
        <f t="shared" si="4"/>
        <v>168.90300753525045</v>
      </c>
      <c r="R50" s="14">
        <f t="shared" si="5"/>
        <v>-168.90300753525045</v>
      </c>
      <c r="S50" s="15">
        <f t="shared" si="6"/>
        <v>37.806015070500848</v>
      </c>
      <c r="T50" s="14">
        <f t="shared" si="53"/>
        <v>150.00000000000003</v>
      </c>
      <c r="U50" s="14">
        <f t="shared" si="49"/>
        <v>-150.00000000000003</v>
      </c>
      <c r="V50" s="15">
        <f>IF(C49&gt;0,L50,"")</f>
        <v>9.6116373477672514</v>
      </c>
    </row>
    <row r="51" spans="2:29" x14ac:dyDescent="0.2">
      <c r="B51" s="122"/>
      <c r="C51" s="2"/>
      <c r="D51" s="9">
        <f>(D52+'Panel Calculations'!D50)/2</f>
        <v>28.4855751014885</v>
      </c>
      <c r="E51" s="10">
        <f>'Panel Calculations'!E50</f>
        <v>2</v>
      </c>
      <c r="F51" s="11"/>
      <c r="G51" s="10">
        <f>IF(Information!$H$18="x",D51,0)</f>
        <v>28.4855751014885</v>
      </c>
      <c r="H51" s="10">
        <f>IF(Information!$H$18="x",E51,0)</f>
        <v>2</v>
      </c>
      <c r="I51" s="10">
        <f>SUM(D51:D52)/2</f>
        <v>25.948362652232749</v>
      </c>
      <c r="J51" s="10">
        <f>SUM(E51:E52)/2</f>
        <v>7.0744248985115012</v>
      </c>
      <c r="K51" s="10">
        <f>IF(Information!$H$17="x",I51,0)</f>
        <v>25.948362652232749</v>
      </c>
      <c r="L51" s="10">
        <f>IF(Information!$H$17="x",J51,0)</f>
        <v>7.0744248985115012</v>
      </c>
      <c r="M51" s="12"/>
      <c r="N51" s="10">
        <f t="shared" ref="N51:P51" si="55">N50</f>
        <v>2.5372124492557511</v>
      </c>
      <c r="O51" s="10">
        <f t="shared" si="55"/>
        <v>134.00691550401069</v>
      </c>
      <c r="P51" s="13">
        <f t="shared" si="55"/>
        <v>337.80601507050091</v>
      </c>
      <c r="Q51" s="14">
        <f t="shared" si="4"/>
        <v>168.90300753525045</v>
      </c>
      <c r="R51" s="14">
        <f t="shared" si="5"/>
        <v>-168.90300753525045</v>
      </c>
      <c r="S51" s="15">
        <f t="shared" si="6"/>
        <v>37.806015070500848</v>
      </c>
      <c r="T51" s="14">
        <f t="shared" si="53"/>
        <v>150.00000000000003</v>
      </c>
      <c r="U51" s="14">
        <f t="shared" si="49"/>
        <v>-150.00000000000003</v>
      </c>
      <c r="V51" s="15">
        <f>IF(C52&gt;0,L51,"")</f>
        <v>7.0744248985115012</v>
      </c>
    </row>
    <row r="52" spans="2:29" x14ac:dyDescent="0.2">
      <c r="B52" s="121"/>
      <c r="C52" s="17">
        <f>C49+1</f>
        <v>15</v>
      </c>
      <c r="D52" s="18">
        <f>D55</f>
        <v>23.411150202976998</v>
      </c>
      <c r="E52" s="19">
        <f>E49</f>
        <v>12.148849797023002</v>
      </c>
      <c r="F52" s="20"/>
      <c r="G52" s="19">
        <f>IF(Information!$H$18="x",D52,0)</f>
        <v>23.411150202976998</v>
      </c>
      <c r="H52" s="19">
        <f>IF(Information!$H$18="x",E52,0)</f>
        <v>12.148849797023002</v>
      </c>
      <c r="I52" s="19"/>
      <c r="J52" s="19"/>
      <c r="K52" s="19">
        <f>K51</f>
        <v>25.948362652232749</v>
      </c>
      <c r="L52" s="19">
        <f>L51</f>
        <v>7.0744248985115012</v>
      </c>
      <c r="M52" s="21"/>
      <c r="N52" s="19">
        <f t="shared" ref="N52:P52" si="56">N51</f>
        <v>2.5372124492557511</v>
      </c>
      <c r="O52" s="19">
        <f t="shared" si="56"/>
        <v>134.00691550401069</v>
      </c>
      <c r="P52" s="22">
        <f t="shared" si="56"/>
        <v>337.80601507050091</v>
      </c>
      <c r="Q52" s="14">
        <f t="shared" si="4"/>
        <v>168.90300753525045</v>
      </c>
      <c r="R52" s="14">
        <f t="shared" si="5"/>
        <v>-168.90300753525045</v>
      </c>
      <c r="S52" s="15">
        <f t="shared" si="6"/>
        <v>37.806015070500848</v>
      </c>
      <c r="T52" s="14">
        <f t="shared" si="53"/>
        <v>150.00000000000003</v>
      </c>
      <c r="U52" s="14">
        <f t="shared" si="49"/>
        <v>-150.00000000000003</v>
      </c>
      <c r="V52" s="15">
        <f>IF(C52&gt;0,L52,"")</f>
        <v>7.0744248985115012</v>
      </c>
    </row>
    <row r="53" spans="2:29" x14ac:dyDescent="0.2">
      <c r="B53" s="122"/>
      <c r="C53" s="2"/>
      <c r="D53" s="23"/>
      <c r="E53" s="24"/>
      <c r="F53" s="24"/>
      <c r="G53" s="25"/>
      <c r="H53" s="25"/>
      <c r="I53" s="25"/>
      <c r="J53" s="25"/>
      <c r="K53" s="25">
        <f>K52</f>
        <v>25.948362652232749</v>
      </c>
      <c r="L53" s="25">
        <f>L52</f>
        <v>7.0744248985115012</v>
      </c>
      <c r="M53" s="26">
        <f>M50</f>
        <v>20.297699594046005</v>
      </c>
      <c r="N53" s="25">
        <f>((I51-I48)^2+(J51-J48)^2)^0.5</f>
        <v>3.5881602563593411</v>
      </c>
      <c r="O53" s="25">
        <f>O50+N53</f>
        <v>137.59507576037004</v>
      </c>
      <c r="P53" s="28">
        <f>(((D51-D52)^2+(E51-E52)^2)^0.5)*Information!$D$20-M53</f>
        <v>337.80601507050079</v>
      </c>
      <c r="Q53" s="14">
        <f t="shared" si="4"/>
        <v>168.9030075352504</v>
      </c>
      <c r="R53" s="14">
        <f t="shared" si="5"/>
        <v>-168.9030075352504</v>
      </c>
      <c r="S53" s="15">
        <f t="shared" si="6"/>
        <v>37.806015070500735</v>
      </c>
      <c r="T53" s="14">
        <f t="shared" si="53"/>
        <v>150.00000000000003</v>
      </c>
      <c r="U53" s="14">
        <f t="shared" si="49"/>
        <v>-150.00000000000003</v>
      </c>
      <c r="V53" s="15">
        <f>IF(C52&gt;0,L53,"")</f>
        <v>7.0744248985115012</v>
      </c>
    </row>
    <row r="54" spans="2:29" x14ac:dyDescent="0.2">
      <c r="B54" s="122"/>
      <c r="C54" s="2"/>
      <c r="D54" s="9">
        <f>'Panel Calculations'!D62</f>
        <v>23.411150202976998</v>
      </c>
      <c r="E54" s="10">
        <f>'Panel Calculations'!E53</f>
        <v>2</v>
      </c>
      <c r="F54" s="11"/>
      <c r="G54" s="10">
        <f>IF(Information!$H$18="x",D54,0)</f>
        <v>23.411150202976998</v>
      </c>
      <c r="H54" s="10">
        <f>IF(Information!$H$18="x",E54,0)</f>
        <v>2</v>
      </c>
      <c r="I54" s="10">
        <f>SUM(D54:D55)/2</f>
        <v>23.411150202976998</v>
      </c>
      <c r="J54" s="10">
        <f>SUM(E54:E55)/2</f>
        <v>7.0744248985115012</v>
      </c>
      <c r="K54" s="10">
        <f>IF(Information!$H$17="x",I54,0)</f>
        <v>23.411150202976998</v>
      </c>
      <c r="L54" s="10">
        <f>IF(Information!$H$17="x",J54,0)</f>
        <v>7.0744248985115012</v>
      </c>
      <c r="M54" s="12"/>
      <c r="N54" s="10">
        <f t="shared" ref="N54:P54" si="57">N53</f>
        <v>3.5881602563593411</v>
      </c>
      <c r="O54" s="10">
        <f t="shared" si="57"/>
        <v>137.59507576037004</v>
      </c>
      <c r="P54" s="13">
        <f t="shared" si="57"/>
        <v>337.80601507050079</v>
      </c>
      <c r="Q54" s="14">
        <f t="shared" si="4"/>
        <v>168.9030075352504</v>
      </c>
      <c r="R54" s="14">
        <f t="shared" si="5"/>
        <v>-168.9030075352504</v>
      </c>
      <c r="S54" s="15">
        <f t="shared" si="6"/>
        <v>37.806015070500735</v>
      </c>
      <c r="T54" s="14">
        <f t="shared" si="53"/>
        <v>150.00000000000003</v>
      </c>
      <c r="U54" s="14">
        <f t="shared" si="49"/>
        <v>-150.00000000000003</v>
      </c>
      <c r="V54" s="15">
        <f>IF(C55&gt;0,L54,"")</f>
        <v>7.0744248985115012</v>
      </c>
    </row>
    <row r="55" spans="2:29" x14ac:dyDescent="0.2">
      <c r="B55" s="121"/>
      <c r="C55" s="17">
        <f>C52+1</f>
        <v>16</v>
      </c>
      <c r="D55" s="18">
        <f>D54</f>
        <v>23.411150202976998</v>
      </c>
      <c r="E55" s="19">
        <f>E52</f>
        <v>12.148849797023002</v>
      </c>
      <c r="F55" s="20"/>
      <c r="G55" s="19">
        <f>IF(Information!$H$18="x",D55,0)</f>
        <v>23.411150202976998</v>
      </c>
      <c r="H55" s="19">
        <f>IF(Information!$H$18="x",E55,0)</f>
        <v>12.148849797023002</v>
      </c>
      <c r="I55" s="19"/>
      <c r="J55" s="19"/>
      <c r="K55" s="19">
        <f>K54</f>
        <v>23.411150202976998</v>
      </c>
      <c r="L55" s="19">
        <f>L54</f>
        <v>7.0744248985115012</v>
      </c>
      <c r="M55" s="21"/>
      <c r="N55" s="19">
        <f t="shared" ref="N55:P55" si="58">N54</f>
        <v>3.5881602563593411</v>
      </c>
      <c r="O55" s="19">
        <f t="shared" si="58"/>
        <v>137.59507576037004</v>
      </c>
      <c r="P55" s="22">
        <f t="shared" si="58"/>
        <v>337.80601507050079</v>
      </c>
      <c r="Q55" s="14">
        <f t="shared" si="4"/>
        <v>168.9030075352504</v>
      </c>
      <c r="R55" s="14">
        <f t="shared" si="5"/>
        <v>-168.9030075352504</v>
      </c>
      <c r="S55" s="15">
        <f t="shared" si="6"/>
        <v>37.806015070500735</v>
      </c>
      <c r="T55" s="14">
        <f t="shared" si="53"/>
        <v>150.00000000000003</v>
      </c>
      <c r="U55" s="14">
        <f t="shared" si="49"/>
        <v>-150.00000000000003</v>
      </c>
      <c r="V55" s="15">
        <f>IF(C55&gt;0,L55,"")</f>
        <v>7.0744248985115012</v>
      </c>
    </row>
    <row r="56" spans="2:29" x14ac:dyDescent="0.2">
      <c r="B56" s="122"/>
      <c r="C56" s="2"/>
      <c r="D56" s="23"/>
      <c r="E56" s="24"/>
      <c r="F56" s="24"/>
      <c r="G56" s="25"/>
      <c r="H56" s="25"/>
      <c r="I56" s="25"/>
      <c r="J56" s="25"/>
      <c r="K56" s="25">
        <f>K55</f>
        <v>23.411150202976998</v>
      </c>
      <c r="L56" s="25">
        <f>L55</f>
        <v>7.0744248985115012</v>
      </c>
      <c r="M56" s="26">
        <f>M53</f>
        <v>20.297699594046005</v>
      </c>
      <c r="N56" s="25">
        <f>((I54-I51)^2+(J54-J51)^2)^0.5</f>
        <v>2.5372124492557511</v>
      </c>
      <c r="O56" s="25">
        <f>O53+N56</f>
        <v>140.13228820962578</v>
      </c>
      <c r="P56" s="28">
        <f>(((D54-D55)^2+(E54-E55)^2)^0.5)*Information!$D$20-M56</f>
        <v>300</v>
      </c>
      <c r="Q56" s="14">
        <f t="shared" si="4"/>
        <v>150</v>
      </c>
      <c r="R56" s="14">
        <f t="shared" si="5"/>
        <v>-150</v>
      </c>
      <c r="S56" s="15">
        <f t="shared" si="6"/>
        <v>-5.6843418860808015E-14</v>
      </c>
      <c r="T56" s="14">
        <f t="shared" si="53"/>
        <v>150.00000000000003</v>
      </c>
      <c r="U56" s="14">
        <f t="shared" si="49"/>
        <v>-150.00000000000003</v>
      </c>
      <c r="V56" s="15">
        <f>IF(C55&gt;0,L56,"")</f>
        <v>7.0744248985115012</v>
      </c>
    </row>
    <row r="57" spans="2:29" x14ac:dyDescent="0.2">
      <c r="B57" s="122"/>
      <c r="C57" s="2"/>
      <c r="D57" s="9">
        <f>D58</f>
        <v>0</v>
      </c>
      <c r="E57" s="10">
        <f>E55</f>
        <v>12.148849797023002</v>
      </c>
      <c r="F57" s="11"/>
      <c r="G57" s="10">
        <f>IF(Information!$H$18="x",D57,0)</f>
        <v>0</v>
      </c>
      <c r="H57" s="10">
        <f>IF(Information!$H$18="x",E57,0)</f>
        <v>12.148849797023002</v>
      </c>
      <c r="I57" s="10">
        <f>SUM(D57:D58)/2</f>
        <v>0</v>
      </c>
      <c r="J57" s="10">
        <f>SUM(E57:E58)/2</f>
        <v>7.0744248985115012</v>
      </c>
      <c r="K57" s="10">
        <f>IF(Information!$H$17="x",I57,0)</f>
        <v>0</v>
      </c>
      <c r="L57" s="10">
        <f>IF(Information!$H$17="x",J57,0)</f>
        <v>7.0744248985115012</v>
      </c>
      <c r="M57" s="12"/>
      <c r="N57" s="10">
        <f t="shared" ref="N57:P57" si="59">N56</f>
        <v>2.5372124492557511</v>
      </c>
      <c r="O57" s="10">
        <f t="shared" si="59"/>
        <v>140.13228820962578</v>
      </c>
      <c r="P57" s="13">
        <f t="shared" si="59"/>
        <v>300</v>
      </c>
      <c r="Q57" s="14">
        <f t="shared" si="4"/>
        <v>150</v>
      </c>
      <c r="R57" s="14">
        <f t="shared" si="5"/>
        <v>-150</v>
      </c>
      <c r="S57" s="15">
        <f t="shared" si="6"/>
        <v>-5.6843418860808015E-14</v>
      </c>
      <c r="T57" s="14">
        <f t="shared" si="53"/>
        <v>150.00000000000003</v>
      </c>
      <c r="U57" s="14">
        <f t="shared" si="49"/>
        <v>-150.00000000000003</v>
      </c>
      <c r="V57" s="15">
        <f>IF(C58&gt;0,L57,"")</f>
        <v>7.0744248985115012</v>
      </c>
      <c r="AA57" s="37" t="s">
        <v>52</v>
      </c>
      <c r="AB57" s="37" t="e">
        <f>((E34-#REF!)-(#REF!-D34)*'Panel Calculations'!Q23)/'Panel Calculations'!P23</f>
        <v>#REF!</v>
      </c>
      <c r="AC57" s="37" t="s">
        <v>70</v>
      </c>
    </row>
    <row r="58" spans="2:29" x14ac:dyDescent="0.2">
      <c r="B58" s="179" t="s">
        <v>107</v>
      </c>
      <c r="C58" s="17">
        <f>C55+1</f>
        <v>17</v>
      </c>
      <c r="D58" s="18">
        <f>'Panel Calculations'!D47</f>
        <v>0</v>
      </c>
      <c r="E58" s="19">
        <f>'Panel Calculations'!E47</f>
        <v>2</v>
      </c>
      <c r="F58" s="20"/>
      <c r="G58" s="19">
        <f>IF(Information!$H$18="x",D58,0)</f>
        <v>0</v>
      </c>
      <c r="H58" s="19">
        <f>IF(Information!$H$18="x",E58,0)</f>
        <v>2</v>
      </c>
      <c r="I58" s="19"/>
      <c r="J58" s="19"/>
      <c r="K58" s="19">
        <f>K57</f>
        <v>0</v>
      </c>
      <c r="L58" s="19">
        <f>L57</f>
        <v>7.0744248985115012</v>
      </c>
      <c r="M58" s="21"/>
      <c r="N58" s="19">
        <f t="shared" ref="N58:P58" si="60">N57</f>
        <v>2.5372124492557511</v>
      </c>
      <c r="O58" s="19">
        <f t="shared" si="60"/>
        <v>140.13228820962578</v>
      </c>
      <c r="P58" s="22">
        <f t="shared" si="60"/>
        <v>300</v>
      </c>
      <c r="Q58" s="14">
        <f t="shared" si="4"/>
        <v>150</v>
      </c>
      <c r="R58" s="14">
        <f t="shared" si="5"/>
        <v>-150</v>
      </c>
      <c r="S58" s="15">
        <f t="shared" si="6"/>
        <v>-5.6843418860808015E-14</v>
      </c>
      <c r="T58" s="14">
        <f t="shared" si="53"/>
        <v>150.00000000000003</v>
      </c>
      <c r="U58" s="14">
        <f t="shared" si="49"/>
        <v>-150.00000000000003</v>
      </c>
      <c r="V58" s="15">
        <f>IF(C58&gt;0,L58,"")</f>
        <v>7.0744248985115012</v>
      </c>
    </row>
    <row r="59" spans="2:29" x14ac:dyDescent="0.2">
      <c r="B59" s="122"/>
      <c r="C59" s="2"/>
      <c r="D59" s="23"/>
      <c r="E59" s="24"/>
      <c r="F59" s="24"/>
      <c r="G59" s="25"/>
      <c r="H59" s="25"/>
      <c r="I59" s="25"/>
      <c r="J59" s="25"/>
      <c r="K59" s="25">
        <f>K58</f>
        <v>0</v>
      </c>
      <c r="L59" s="25">
        <f>L58</f>
        <v>7.0744248985115012</v>
      </c>
      <c r="M59" s="26">
        <f>M56</f>
        <v>20.297699594046005</v>
      </c>
      <c r="N59" s="25">
        <f>((I57-I54)^2+(J57-J54)^2)^0.5</f>
        <v>23.411150202976998</v>
      </c>
      <c r="O59" s="25">
        <f>O56+N59</f>
        <v>163.54343841260277</v>
      </c>
      <c r="P59" s="28">
        <f>(((D57-D58)^2+(E57-E58)^2)^0.5)*Information!$D$20-M59</f>
        <v>300</v>
      </c>
      <c r="Q59" s="14">
        <f t="shared" si="4"/>
        <v>150</v>
      </c>
      <c r="R59" s="14">
        <f t="shared" si="5"/>
        <v>-150</v>
      </c>
      <c r="S59" s="15">
        <f t="shared" si="6"/>
        <v>-5.6843418860808015E-14</v>
      </c>
      <c r="T59" s="14">
        <f t="shared" si="53"/>
        <v>150.00000000000003</v>
      </c>
      <c r="U59" s="14">
        <f t="shared" si="49"/>
        <v>-150.00000000000003</v>
      </c>
      <c r="V59" s="15">
        <f>IF(C58&gt;0,L59,"")</f>
        <v>7.0744248985115012</v>
      </c>
    </row>
    <row r="60" spans="2:29" x14ac:dyDescent="0.2">
      <c r="Q60" s="14"/>
      <c r="R60" s="14"/>
      <c r="S60" s="15"/>
      <c r="T60" s="14"/>
      <c r="U60" s="14"/>
      <c r="V60" s="15"/>
    </row>
    <row r="61" spans="2:29" x14ac:dyDescent="0.2">
      <c r="Q61" s="14"/>
      <c r="R61" s="14"/>
      <c r="S61" s="15"/>
      <c r="T61" s="14"/>
      <c r="U61" s="14"/>
      <c r="V61" s="15"/>
    </row>
    <row r="62" spans="2:29" x14ac:dyDescent="0.2">
      <c r="Q62" s="14"/>
      <c r="R62" s="14"/>
      <c r="S62" s="15"/>
      <c r="T62" s="14"/>
      <c r="U62" s="14"/>
      <c r="V62" s="15"/>
    </row>
    <row r="63" spans="2:29" x14ac:dyDescent="0.2">
      <c r="B63" s="122" t="s">
        <v>86</v>
      </c>
      <c r="O63" s="38">
        <f>O35-Z12</f>
        <v>78.853552018150992</v>
      </c>
      <c r="P63" s="88">
        <f>((E67-E65)*O63/F67+E65)</f>
        <v>575.46107882789624</v>
      </c>
      <c r="Q63" s="14"/>
      <c r="R63" s="14"/>
      <c r="S63" s="15"/>
      <c r="T63" s="14"/>
      <c r="U63" s="14"/>
      <c r="V63" s="15"/>
    </row>
    <row r="64" spans="2:29" x14ac:dyDescent="0.2">
      <c r="E64" s="37" t="s">
        <v>134</v>
      </c>
      <c r="F64" s="37" t="s">
        <v>27</v>
      </c>
      <c r="G64" s="37" t="s">
        <v>25</v>
      </c>
      <c r="Q64" s="14"/>
      <c r="R64" s="14"/>
      <c r="S64" s="15"/>
      <c r="T64" s="14"/>
      <c r="U64" s="14"/>
      <c r="V64" s="15"/>
    </row>
    <row r="65" spans="4:22" x14ac:dyDescent="0.2">
      <c r="D65" s="37" t="s">
        <v>23</v>
      </c>
      <c r="E65" s="181">
        <f>P8</f>
        <v>0</v>
      </c>
      <c r="F65" s="38">
        <f>O8</f>
        <v>0</v>
      </c>
      <c r="Q65" s="14"/>
      <c r="R65" s="14"/>
      <c r="S65" s="15"/>
      <c r="T65" s="14"/>
      <c r="U65" s="14"/>
      <c r="V65" s="15"/>
    </row>
    <row r="66" spans="4:22" x14ac:dyDescent="0.2">
      <c r="D66" s="2" t="s">
        <v>29</v>
      </c>
      <c r="E66" s="14">
        <f>P63</f>
        <v>575.46107882789624</v>
      </c>
      <c r="F66" s="15">
        <f>O63</f>
        <v>78.853552018150992</v>
      </c>
      <c r="G66" s="38">
        <f>F66-F65</f>
        <v>78.853552018150992</v>
      </c>
      <c r="Q66" s="14"/>
      <c r="R66" s="14"/>
      <c r="S66" s="15"/>
      <c r="T66" s="14"/>
      <c r="U66" s="14"/>
      <c r="V66" s="15"/>
    </row>
    <row r="67" spans="4:22" x14ac:dyDescent="0.2">
      <c r="D67" s="2" t="s">
        <v>39</v>
      </c>
      <c r="E67" s="14">
        <f>P35</f>
        <v>934.45067963614429</v>
      </c>
      <c r="F67" s="15">
        <f>O35</f>
        <v>128.04472445845852</v>
      </c>
      <c r="G67" s="38">
        <f>F67-F66</f>
        <v>49.191172440307525</v>
      </c>
      <c r="Q67" s="14"/>
      <c r="R67" s="14"/>
      <c r="S67" s="15"/>
      <c r="T67" s="14"/>
      <c r="U67" s="14"/>
      <c r="V67" s="15"/>
    </row>
    <row r="68" spans="4:22" x14ac:dyDescent="0.2">
      <c r="D68" s="2" t="s">
        <v>65</v>
      </c>
      <c r="E68" s="14">
        <f>P47</f>
        <v>300.00000000000006</v>
      </c>
      <c r="F68" s="15">
        <f>O47</f>
        <v>131.46970305475494</v>
      </c>
      <c r="G68" s="38">
        <f>F68-F67</f>
        <v>3.4249785962964268</v>
      </c>
      <c r="Q68" s="14"/>
      <c r="R68" s="14"/>
      <c r="S68" s="15"/>
      <c r="T68" s="14"/>
      <c r="U68" s="14"/>
      <c r="V68" s="15"/>
    </row>
    <row r="69" spans="4:22" x14ac:dyDescent="0.2">
      <c r="D69" s="37" t="s">
        <v>107</v>
      </c>
      <c r="E69" s="38">
        <f>P59</f>
        <v>300</v>
      </c>
      <c r="F69" s="38">
        <f>O59</f>
        <v>163.54343841260277</v>
      </c>
      <c r="G69" s="38">
        <f>F69-F68</f>
        <v>32.073735357847823</v>
      </c>
      <c r="Q69" s="14"/>
      <c r="R69" s="14"/>
      <c r="S69" s="15"/>
      <c r="T69" s="14"/>
      <c r="U69" s="14"/>
      <c r="V69" s="15"/>
    </row>
    <row r="70" spans="4:22" x14ac:dyDescent="0.2">
      <c r="Q70" s="14"/>
      <c r="R70" s="14"/>
      <c r="S70" s="15"/>
      <c r="T70" s="14"/>
      <c r="U70" s="14"/>
      <c r="V70" s="15"/>
    </row>
    <row r="71" spans="4:22" x14ac:dyDescent="0.2">
      <c r="Q71" s="14"/>
      <c r="R71" s="14"/>
      <c r="S71" s="15"/>
      <c r="T71" s="14"/>
      <c r="U71" s="14"/>
      <c r="V71" s="15"/>
    </row>
    <row r="72" spans="4:22" x14ac:dyDescent="0.2">
      <c r="Q72" s="14"/>
      <c r="R72" s="14"/>
      <c r="S72" s="15"/>
      <c r="T72" s="14"/>
      <c r="U72" s="14"/>
      <c r="V72" s="15"/>
    </row>
    <row r="73" spans="4:22" x14ac:dyDescent="0.2">
      <c r="Q73" s="14"/>
      <c r="R73" s="14"/>
      <c r="S73" s="15"/>
      <c r="T73" s="14"/>
      <c r="U73" s="14"/>
      <c r="V73" s="15"/>
    </row>
    <row r="74" spans="4:22" x14ac:dyDescent="0.2">
      <c r="Q74" s="14"/>
      <c r="R74" s="14"/>
      <c r="S74" s="15"/>
      <c r="T74" s="14"/>
      <c r="U74" s="14"/>
      <c r="V74" s="15"/>
    </row>
    <row r="75" spans="4:22" x14ac:dyDescent="0.2">
      <c r="Q75" s="14"/>
      <c r="R75" s="14"/>
      <c r="S75" s="15"/>
      <c r="T75" s="14"/>
      <c r="U75" s="14"/>
      <c r="V75" s="15"/>
    </row>
    <row r="76" spans="4:22" x14ac:dyDescent="0.2">
      <c r="Q76" s="14"/>
      <c r="R76" s="14"/>
      <c r="S76" s="15"/>
      <c r="T76" s="14"/>
      <c r="U76" s="14"/>
      <c r="V76" s="15"/>
    </row>
    <row r="77" spans="4:22" x14ac:dyDescent="0.2">
      <c r="Q77" s="14"/>
      <c r="R77" s="14"/>
      <c r="S77" s="15"/>
      <c r="T77" s="14"/>
      <c r="U77" s="14"/>
      <c r="V77" s="15"/>
    </row>
    <row r="78" spans="4:22" x14ac:dyDescent="0.2">
      <c r="Q78" s="14"/>
      <c r="R78" s="14"/>
      <c r="S78" s="15"/>
      <c r="T78" s="14"/>
      <c r="U78" s="14"/>
      <c r="V78" s="15"/>
    </row>
    <row r="79" spans="4:22" x14ac:dyDescent="0.2">
      <c r="Q79" s="14"/>
      <c r="R79" s="14"/>
      <c r="S79" s="15"/>
      <c r="T79" s="14"/>
      <c r="U79" s="14"/>
      <c r="V79" s="15"/>
    </row>
    <row r="80" spans="4:22" x14ac:dyDescent="0.2">
      <c r="Q80" s="14"/>
      <c r="R80" s="14"/>
      <c r="S80" s="15"/>
      <c r="T80" s="14"/>
      <c r="U80" s="14"/>
      <c r="V80" s="15"/>
    </row>
    <row r="81" spans="17:22" x14ac:dyDescent="0.2">
      <c r="Q81" s="14"/>
      <c r="R81" s="14"/>
      <c r="S81" s="15"/>
      <c r="T81" s="14"/>
      <c r="U81" s="14"/>
      <c r="V81" s="15"/>
    </row>
    <row r="82" spans="17:22" x14ac:dyDescent="0.2">
      <c r="Q82" s="14"/>
      <c r="R82" s="14"/>
      <c r="S82" s="15"/>
      <c r="T82" s="14"/>
      <c r="U82" s="14"/>
      <c r="V82" s="15"/>
    </row>
    <row r="83" spans="17:22" x14ac:dyDescent="0.2">
      <c r="Q83" s="14"/>
      <c r="R83" s="14"/>
      <c r="S83" s="15"/>
      <c r="T83" s="14"/>
      <c r="U83" s="14"/>
      <c r="V83" s="15"/>
    </row>
    <row r="84" spans="17:22" x14ac:dyDescent="0.2">
      <c r="Q84" s="14"/>
      <c r="R84" s="14"/>
      <c r="S84" s="15"/>
      <c r="T84" s="14"/>
      <c r="U84" s="14"/>
      <c r="V84" s="15"/>
    </row>
    <row r="85" spans="17:22" x14ac:dyDescent="0.2">
      <c r="Q85" s="14"/>
      <c r="R85" s="14"/>
      <c r="S85" s="15"/>
      <c r="T85" s="14"/>
      <c r="U85" s="14"/>
      <c r="V85" s="15"/>
    </row>
    <row r="86" spans="17:22" x14ac:dyDescent="0.2">
      <c r="Q86" s="14"/>
      <c r="R86" s="14"/>
      <c r="S86" s="15"/>
      <c r="T86" s="14"/>
      <c r="U86" s="14"/>
      <c r="V86" s="15"/>
    </row>
    <row r="87" spans="17:22" x14ac:dyDescent="0.2">
      <c r="Q87" s="14"/>
      <c r="R87" s="14"/>
      <c r="S87" s="15"/>
      <c r="T87" s="14"/>
      <c r="U87" s="14"/>
      <c r="V87" s="15"/>
    </row>
    <row r="88" spans="17:22" x14ac:dyDescent="0.2">
      <c r="Q88" s="14"/>
      <c r="R88" s="14"/>
      <c r="S88" s="15"/>
      <c r="T88" s="14"/>
      <c r="U88" s="14"/>
      <c r="V88" s="15"/>
    </row>
    <row r="89" spans="17:22" x14ac:dyDescent="0.2">
      <c r="Q89" s="14"/>
      <c r="R89" s="14"/>
      <c r="S89" s="15"/>
      <c r="T89" s="14"/>
      <c r="U89" s="14"/>
      <c r="V89" s="15"/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9"/>
  <sheetViews>
    <sheetView workbookViewId="0">
      <selection activeCell="AH30" sqref="AH30"/>
    </sheetView>
  </sheetViews>
  <sheetFormatPr defaultRowHeight="15" x14ac:dyDescent="0.25"/>
  <sheetData>
    <row r="1" spans="1:18" x14ac:dyDescent="0.25">
      <c r="A1" s="1" t="s">
        <v>128</v>
      </c>
      <c r="B1" s="2"/>
      <c r="C1" s="27" t="s">
        <v>11</v>
      </c>
      <c r="D1" s="27" t="s">
        <v>12</v>
      </c>
      <c r="E1" s="2"/>
      <c r="F1" s="27" t="s">
        <v>11</v>
      </c>
      <c r="G1" s="27" t="s">
        <v>12</v>
      </c>
      <c r="H1" s="2"/>
      <c r="I1" s="2"/>
      <c r="J1" s="27" t="s">
        <v>66</v>
      </c>
      <c r="K1" s="27" t="s">
        <v>67</v>
      </c>
      <c r="L1" s="27" t="s">
        <v>68</v>
      </c>
      <c r="M1" s="27" t="s">
        <v>69</v>
      </c>
      <c r="N1" s="27" t="s">
        <v>72</v>
      </c>
      <c r="O1" s="27" t="s">
        <v>73</v>
      </c>
      <c r="P1" s="27" t="s">
        <v>11</v>
      </c>
      <c r="Q1" s="27" t="s">
        <v>12</v>
      </c>
      <c r="R1" s="120" t="s">
        <v>52</v>
      </c>
    </row>
    <row r="2" spans="1:18" x14ac:dyDescent="0.25">
      <c r="A2" s="1"/>
      <c r="B2" s="2"/>
      <c r="C2" s="27"/>
      <c r="D2" s="27"/>
      <c r="E2" s="2"/>
      <c r="F2" s="27"/>
      <c r="G2" s="27"/>
      <c r="H2" s="2"/>
    </row>
    <row r="3" spans="1:18" x14ac:dyDescent="0.25">
      <c r="A3" s="2"/>
      <c r="B3" s="2"/>
      <c r="C3" s="9">
        <f>'Panel Calculations'!D61</f>
        <v>0</v>
      </c>
      <c r="D3" s="9">
        <f>'Panel Calculations'!E61</f>
        <v>12.148849797023002</v>
      </c>
      <c r="E3" s="11"/>
      <c r="F3" s="10">
        <f>IF(Information!$H$19="x",C3,0)</f>
        <v>0</v>
      </c>
      <c r="G3" s="130">
        <f>IF(Information!$H$19="x",D3,0)</f>
        <v>12.148849797023002</v>
      </c>
      <c r="H3" s="2"/>
      <c r="I3" s="131"/>
      <c r="J3" s="132"/>
      <c r="K3" s="132"/>
      <c r="L3" s="132"/>
      <c r="M3" s="132"/>
      <c r="N3" s="133"/>
      <c r="O3" s="133"/>
      <c r="P3" s="134"/>
      <c r="Q3" s="132"/>
      <c r="R3" s="135"/>
    </row>
    <row r="4" spans="1:18" x14ac:dyDescent="0.25">
      <c r="A4" s="2"/>
      <c r="B4" s="1">
        <v>1</v>
      </c>
      <c r="C4" s="18">
        <f>'Panel Calculations'!D49</f>
        <v>35.56</v>
      </c>
      <c r="D4" s="19">
        <f>D3</f>
        <v>12.148849797023002</v>
      </c>
      <c r="E4" s="20"/>
      <c r="F4" s="19">
        <f>IF(Information!$H$19="x",C4,0)</f>
        <v>35.56</v>
      </c>
      <c r="G4" s="136">
        <f>IF(Information!$H$19="x",D4,0)</f>
        <v>12.148849797023002</v>
      </c>
      <c r="H4" s="2"/>
      <c r="I4" s="137"/>
      <c r="J4" s="138"/>
      <c r="K4" s="138"/>
      <c r="L4" s="138"/>
      <c r="M4" s="138"/>
      <c r="N4" s="139"/>
      <c r="O4" s="139"/>
      <c r="P4" s="138"/>
      <c r="Q4" s="138"/>
      <c r="R4" s="140"/>
    </row>
    <row r="5" spans="1:18" x14ac:dyDescent="0.25">
      <c r="A5" s="2"/>
      <c r="B5" s="2"/>
      <c r="C5" s="23"/>
      <c r="D5" s="24"/>
      <c r="E5" s="24"/>
      <c r="F5" s="146"/>
      <c r="G5" s="147"/>
      <c r="H5" s="2"/>
      <c r="I5" s="141"/>
      <c r="J5" s="142"/>
      <c r="K5" s="142"/>
      <c r="L5" s="142"/>
      <c r="M5" s="142"/>
      <c r="N5" s="143"/>
      <c r="O5" s="143"/>
      <c r="P5" s="142"/>
      <c r="Q5" s="142"/>
      <c r="R5" s="144"/>
    </row>
    <row r="6" spans="1:18" x14ac:dyDescent="0.25">
      <c r="A6" s="2"/>
      <c r="B6" s="1"/>
      <c r="C6" s="18">
        <f>'Panel Calculations'!D33</f>
        <v>4</v>
      </c>
      <c r="D6" s="19">
        <f>'Panel Calculations'!E40</f>
        <v>86.36</v>
      </c>
      <c r="E6" s="20"/>
      <c r="F6" s="19">
        <f>IF(Information!$H$19="x",C6,0)</f>
        <v>4</v>
      </c>
      <c r="G6" s="136">
        <f>IF(Information!$H$19="x",D6,0)</f>
        <v>86.36</v>
      </c>
      <c r="H6" s="2"/>
      <c r="I6" s="131"/>
      <c r="J6" s="132"/>
      <c r="K6" s="132"/>
      <c r="L6" s="132"/>
      <c r="M6" s="132"/>
      <c r="N6" s="133"/>
      <c r="O6" s="133"/>
      <c r="P6" s="134"/>
      <c r="Q6" s="132"/>
      <c r="R6" s="135"/>
    </row>
    <row r="7" spans="1:18" x14ac:dyDescent="0.25">
      <c r="A7" s="2"/>
      <c r="B7" s="1">
        <v>2</v>
      </c>
      <c r="C7" s="18">
        <f>C6</f>
        <v>4</v>
      </c>
      <c r="D7" s="19">
        <f>'Panel Calculations'!E45</f>
        <v>0</v>
      </c>
      <c r="E7" s="20"/>
      <c r="F7" s="19">
        <f>IF(Information!$H$19="x",C7,0)</f>
        <v>4</v>
      </c>
      <c r="G7" s="136">
        <f>IF(Information!$H$19="x",D7,0)</f>
        <v>0</v>
      </c>
      <c r="H7" s="2"/>
      <c r="I7" s="137"/>
      <c r="J7" s="138"/>
      <c r="K7" s="138"/>
      <c r="L7" s="138"/>
      <c r="M7" s="138"/>
      <c r="N7" s="139"/>
      <c r="O7" s="139"/>
      <c r="P7" s="138"/>
      <c r="Q7" s="138"/>
      <c r="R7" s="140"/>
    </row>
    <row r="8" spans="1:18" x14ac:dyDescent="0.25">
      <c r="A8" s="2"/>
      <c r="B8" s="1"/>
      <c r="C8" s="23"/>
      <c r="D8" s="24"/>
      <c r="E8" s="145"/>
      <c r="F8" s="146"/>
      <c r="G8" s="147"/>
      <c r="H8" s="2"/>
      <c r="I8" s="141"/>
      <c r="J8" s="142"/>
      <c r="K8" s="142"/>
      <c r="L8" s="142"/>
      <c r="M8" s="142"/>
      <c r="N8" s="143"/>
      <c r="O8" s="143"/>
      <c r="P8" s="142"/>
      <c r="Q8" s="142"/>
      <c r="R8" s="144"/>
    </row>
    <row r="9" spans="1:18" x14ac:dyDescent="0.25">
      <c r="A9" s="2"/>
      <c r="B9" s="1"/>
      <c r="C9" s="9">
        <f>P10</f>
        <v>35.56</v>
      </c>
      <c r="D9" s="10">
        <f>Q10</f>
        <v>7.2983667363430698</v>
      </c>
      <c r="E9" s="11"/>
      <c r="F9" s="10">
        <f>IF(Information!$H$19="x",C9,0)</f>
        <v>35.56</v>
      </c>
      <c r="G9" s="136">
        <f>IF(Information!$H$19="x",D9,0)</f>
        <v>7.2983667363430698</v>
      </c>
      <c r="H9" s="2"/>
      <c r="I9" s="131" t="str">
        <f>'Panel Calculations'!B55</f>
        <v>Panel E</v>
      </c>
      <c r="J9" s="132">
        <f>'Panel Calculations'!D57</f>
        <v>20.740028923806697</v>
      </c>
      <c r="K9" s="132">
        <f>'Panel Calculations'!E57</f>
        <v>70.639258997911242</v>
      </c>
      <c r="L9" s="132">
        <f>'Panel Calculations'!D58</f>
        <v>31.612592995407127</v>
      </c>
      <c r="M9" s="132">
        <f>'Panel Calculations'!E58</f>
        <v>24.169673738563013</v>
      </c>
      <c r="N9" s="133">
        <f>(M9-K9)/(L9-J9)</f>
        <v>-4.2740226641412615</v>
      </c>
      <c r="O9" s="133">
        <f>(M9*J9-K9*L9)/(J9-L9)</f>
        <v>159.28261267320633</v>
      </c>
      <c r="P9" s="134"/>
      <c r="Q9" s="132"/>
      <c r="R9" s="135"/>
    </row>
    <row r="10" spans="1:18" x14ac:dyDescent="0.25">
      <c r="A10" s="2"/>
      <c r="B10" s="1">
        <v>3</v>
      </c>
      <c r="C10" s="18">
        <f>P11</f>
        <v>17.061821708392362</v>
      </c>
      <c r="D10" s="19">
        <f>Q11</f>
        <v>86.36</v>
      </c>
      <c r="E10" s="20"/>
      <c r="F10" s="19">
        <f>IF(Information!$H$19="x",C10,0)</f>
        <v>17.061821708392362</v>
      </c>
      <c r="G10" s="136">
        <f>IF(Information!$H$19="x",D10,0)</f>
        <v>86.36</v>
      </c>
      <c r="H10" s="2"/>
      <c r="I10" s="137" t="str">
        <f>'Panel Calculations'!B67</f>
        <v>Panel G</v>
      </c>
      <c r="J10" s="138">
        <f>'Panel Calculations'!D68</f>
        <v>35.56</v>
      </c>
      <c r="K10" s="138">
        <f>'Panel Calculations'!E68</f>
        <v>0</v>
      </c>
      <c r="L10" s="138">
        <f>'Panel Calculations'!D69</f>
        <v>35.56</v>
      </c>
      <c r="M10" s="138">
        <f>'Panel Calculations'!E69</f>
        <v>86.36</v>
      </c>
      <c r="N10" s="139" t="str">
        <f>IF(J10&lt;&gt;L10,(M10-K10)/(L10-J10),"")</f>
        <v/>
      </c>
      <c r="O10" s="139" t="str">
        <f>IF(J10&lt;&gt;L10,(M10*J10-K10*L10)/(J10-L10),"")</f>
        <v/>
      </c>
      <c r="P10" s="138">
        <f>IF(N10&lt;&gt;"",(O9-O10)/(N10-N9),J10)</f>
        <v>35.56</v>
      </c>
      <c r="Q10" s="138">
        <f>P10*N9+O9</f>
        <v>7.2983667363430698</v>
      </c>
      <c r="R10" s="140">
        <f>(P10^2+Q10^2)^0.5</f>
        <v>36.301236301511267</v>
      </c>
    </row>
    <row r="11" spans="1:18" x14ac:dyDescent="0.25">
      <c r="A11" s="2"/>
      <c r="B11" s="1"/>
      <c r="C11" s="23"/>
      <c r="D11" s="24"/>
      <c r="E11" s="145"/>
      <c r="F11" s="146"/>
      <c r="G11" s="147"/>
      <c r="H11" s="2"/>
      <c r="I11" s="141"/>
      <c r="J11" s="142">
        <f>'Panel Calculations'!D39</f>
        <v>35.56</v>
      </c>
      <c r="K11" s="142">
        <f>'Panel Calculations'!E39</f>
        <v>86.36</v>
      </c>
      <c r="L11" s="142">
        <f>'Panel Calculations'!D40</f>
        <v>0</v>
      </c>
      <c r="M11" s="142">
        <f>'Panel Calculations'!E40</f>
        <v>86.36</v>
      </c>
      <c r="N11" s="139">
        <f>IF(J11&lt;&gt;L11,(M11-K11)/(L11-J11),"")</f>
        <v>0</v>
      </c>
      <c r="O11" s="139">
        <f>IF(J11&lt;&gt;L11,(M11*J11-K11*L11)/(J11-L11),"")</f>
        <v>86.36</v>
      </c>
      <c r="P11" s="138">
        <f>IF(N11&lt;&gt;"",(O9-O11)/(N11-N9),J11)</f>
        <v>17.061821708392362</v>
      </c>
      <c r="Q11" s="138">
        <f>P11*N9+O9</f>
        <v>86.36</v>
      </c>
      <c r="R11" s="140">
        <f>(P11^2+Q11^2)^0.5</f>
        <v>88.029286944794507</v>
      </c>
    </row>
    <row r="12" spans="1:18" x14ac:dyDescent="0.25">
      <c r="A12" s="2"/>
      <c r="B12" s="1"/>
      <c r="C12" s="9"/>
      <c r="D12" s="10"/>
      <c r="E12" s="11"/>
      <c r="F12" s="10">
        <f>IF(Information!$H$19="x",C12,0)</f>
        <v>0</v>
      </c>
      <c r="G12" s="136">
        <f>IF(Information!$H$19="x",D12,0)</f>
        <v>0</v>
      </c>
      <c r="H12" s="2"/>
      <c r="I12" s="131"/>
      <c r="J12" s="132"/>
      <c r="K12" s="132"/>
      <c r="L12" s="132"/>
      <c r="M12" s="132"/>
      <c r="N12" s="133"/>
      <c r="O12" s="133"/>
      <c r="P12" s="134"/>
      <c r="Q12" s="132"/>
      <c r="R12" s="135"/>
    </row>
    <row r="13" spans="1:18" x14ac:dyDescent="0.25">
      <c r="A13" s="2"/>
      <c r="B13" s="1">
        <v>4</v>
      </c>
      <c r="C13" s="18"/>
      <c r="D13" s="19"/>
      <c r="E13" s="20"/>
      <c r="F13" s="19">
        <f>IF(Information!$H$19="x",C13,0)</f>
        <v>0</v>
      </c>
      <c r="G13" s="136">
        <f>IF(Information!$H$19="x",D13,0)</f>
        <v>0</v>
      </c>
      <c r="H13" s="2"/>
      <c r="I13" s="137"/>
      <c r="J13" s="138"/>
      <c r="K13" s="138"/>
      <c r="L13" s="138"/>
      <c r="M13" s="138"/>
      <c r="N13" s="139"/>
      <c r="O13" s="139"/>
      <c r="P13" s="138"/>
      <c r="Q13" s="138"/>
      <c r="R13" s="140"/>
    </row>
    <row r="14" spans="1:18" x14ac:dyDescent="0.25">
      <c r="A14" s="2"/>
      <c r="B14" s="1"/>
      <c r="C14" s="23"/>
      <c r="D14" s="24"/>
      <c r="E14" s="145"/>
      <c r="F14" s="146"/>
      <c r="G14" s="147"/>
      <c r="H14" s="2"/>
      <c r="I14" s="141"/>
      <c r="J14" s="142"/>
      <c r="K14" s="142"/>
      <c r="L14" s="142"/>
      <c r="M14" s="142"/>
      <c r="N14" s="143"/>
      <c r="O14" s="143"/>
      <c r="P14" s="142"/>
      <c r="Q14" s="142"/>
      <c r="R14" s="144"/>
    </row>
    <row r="15" spans="1:18" x14ac:dyDescent="0.25">
      <c r="A15" s="2"/>
      <c r="B15" s="1"/>
      <c r="C15" s="9"/>
      <c r="D15" s="10"/>
      <c r="E15" s="11"/>
      <c r="F15" s="10">
        <f>IF(Information!$H$19="x",C15,0)</f>
        <v>0</v>
      </c>
      <c r="G15" s="136">
        <f>IF(Information!$H$19="x",D15,0)</f>
        <v>0</v>
      </c>
      <c r="H15" s="2"/>
      <c r="I15" s="131"/>
      <c r="J15" s="132"/>
      <c r="K15" s="132"/>
      <c r="L15" s="132"/>
      <c r="M15" s="132"/>
      <c r="N15" s="133"/>
      <c r="O15" s="133"/>
      <c r="P15" s="134"/>
      <c r="Q15" s="132"/>
      <c r="R15" s="135"/>
    </row>
    <row r="16" spans="1:18" x14ac:dyDescent="0.25">
      <c r="A16" s="2"/>
      <c r="B16" s="1">
        <v>5</v>
      </c>
      <c r="C16" s="18"/>
      <c r="D16" s="19"/>
      <c r="E16" s="20"/>
      <c r="F16" s="19">
        <f>IF(Information!$H$19="x",C16,0)</f>
        <v>0</v>
      </c>
      <c r="G16" s="136">
        <f>IF(Information!$H$19="x",D16,0)</f>
        <v>0</v>
      </c>
      <c r="H16" s="2"/>
      <c r="I16" s="137"/>
      <c r="J16" s="138"/>
      <c r="K16" s="138"/>
      <c r="L16" s="138"/>
      <c r="M16" s="138"/>
      <c r="N16" s="139"/>
      <c r="O16" s="139"/>
      <c r="P16" s="138"/>
      <c r="Q16" s="138"/>
      <c r="R16" s="140"/>
    </row>
    <row r="17" spans="1:18" x14ac:dyDescent="0.25">
      <c r="A17" s="2"/>
      <c r="B17" s="1"/>
      <c r="C17" s="23"/>
      <c r="D17" s="24"/>
      <c r="E17" s="145"/>
      <c r="F17" s="146"/>
      <c r="G17" s="147"/>
      <c r="H17" s="2"/>
      <c r="I17" s="141"/>
      <c r="J17" s="142"/>
      <c r="K17" s="142"/>
      <c r="L17" s="142"/>
      <c r="M17" s="142"/>
      <c r="N17" s="143"/>
      <c r="O17" s="143"/>
      <c r="P17" s="142"/>
      <c r="Q17" s="142"/>
      <c r="R17" s="144"/>
    </row>
    <row r="18" spans="1:18" x14ac:dyDescent="0.25">
      <c r="A18" s="2"/>
      <c r="B18" s="1"/>
      <c r="C18" s="9"/>
      <c r="D18" s="10"/>
      <c r="E18" s="11"/>
      <c r="F18" s="10">
        <f>IF(Information!$H$19="x",C18,0)</f>
        <v>0</v>
      </c>
      <c r="G18" s="136">
        <f>IF(Information!$H$19="x",D18,0)</f>
        <v>0</v>
      </c>
      <c r="H18" s="2"/>
      <c r="I18" s="131"/>
      <c r="J18" s="132"/>
      <c r="K18" s="132"/>
      <c r="L18" s="132"/>
      <c r="M18" s="132"/>
      <c r="N18" s="133"/>
      <c r="O18" s="133"/>
      <c r="P18" s="134"/>
      <c r="Q18" s="132"/>
      <c r="R18" s="135"/>
    </row>
    <row r="19" spans="1:18" x14ac:dyDescent="0.25">
      <c r="A19" s="2"/>
      <c r="B19" s="1">
        <v>6</v>
      </c>
      <c r="C19" s="18"/>
      <c r="D19" s="19"/>
      <c r="E19" s="20"/>
      <c r="F19" s="19">
        <f>IF(Information!$H$19="x",C19,0)</f>
        <v>0</v>
      </c>
      <c r="G19" s="136">
        <f>IF(Information!$H$19="x",D19,0)</f>
        <v>0</v>
      </c>
      <c r="H19" s="2"/>
      <c r="I19" s="137"/>
      <c r="J19" s="138"/>
      <c r="K19" s="138"/>
      <c r="L19" s="138"/>
      <c r="M19" s="138"/>
      <c r="N19" s="138"/>
      <c r="O19" s="139"/>
      <c r="P19" s="138"/>
      <c r="Q19" s="138"/>
      <c r="R19" s="140"/>
    </row>
    <row r="20" spans="1:18" x14ac:dyDescent="0.25">
      <c r="A20" s="2"/>
      <c r="B20" s="1"/>
      <c r="C20" s="23"/>
      <c r="D20" s="24"/>
      <c r="E20" s="145"/>
      <c r="F20" s="146"/>
      <c r="G20" s="147"/>
      <c r="H20" s="2"/>
      <c r="I20" s="141"/>
      <c r="J20" s="142"/>
      <c r="K20" s="142"/>
      <c r="L20" s="142"/>
      <c r="M20" s="142"/>
      <c r="N20" s="143"/>
      <c r="O20" s="143"/>
      <c r="P20" s="142"/>
      <c r="Q20" s="142"/>
      <c r="R20" s="144"/>
    </row>
    <row r="24" spans="1:18" x14ac:dyDescent="0.25">
      <c r="B24" s="1"/>
      <c r="C24" s="9">
        <v>0</v>
      </c>
      <c r="D24" s="10">
        <f>0</f>
        <v>0</v>
      </c>
      <c r="E24" s="11"/>
      <c r="F24" s="10">
        <f>IF(Information!$H$19="x",C24,0)</f>
        <v>0</v>
      </c>
      <c r="G24" s="130">
        <f>IF(Information!$H$19="x",D24,0)</f>
        <v>0</v>
      </c>
    </row>
    <row r="25" spans="1:18" x14ac:dyDescent="0.25">
      <c r="B25" s="1" t="s">
        <v>129</v>
      </c>
      <c r="C25" s="18">
        <v>0</v>
      </c>
      <c r="D25" s="19">
        <f>MAX(C3:D20)</f>
        <v>86.36</v>
      </c>
      <c r="E25" s="20"/>
      <c r="F25" s="19">
        <f>IF(Information!$H$19="x",C25,0)</f>
        <v>0</v>
      </c>
      <c r="G25" s="136">
        <f>IF(Information!$H$19="x",D25,0)</f>
        <v>86.36</v>
      </c>
    </row>
    <row r="26" spans="1:18" x14ac:dyDescent="0.25">
      <c r="B26" s="1"/>
      <c r="C26" s="23"/>
      <c r="D26" s="24"/>
      <c r="E26" s="145"/>
      <c r="F26" s="146"/>
      <c r="G26" s="147"/>
    </row>
    <row r="27" spans="1:18" x14ac:dyDescent="0.25">
      <c r="B27" s="1"/>
      <c r="C27" s="9">
        <v>0</v>
      </c>
      <c r="D27" s="10">
        <f>0</f>
        <v>0</v>
      </c>
      <c r="E27" s="11"/>
      <c r="F27" s="10">
        <f>IF(Information!$H$19="x",C27,0)</f>
        <v>0</v>
      </c>
      <c r="G27" s="136">
        <f>IF(Information!$H$19="x",D27,0)</f>
        <v>0</v>
      </c>
    </row>
    <row r="28" spans="1:18" x14ac:dyDescent="0.25">
      <c r="B28" s="1" t="s">
        <v>130</v>
      </c>
      <c r="C28" s="18">
        <f>D25</f>
        <v>86.36</v>
      </c>
      <c r="D28" s="19">
        <f>D27</f>
        <v>0</v>
      </c>
      <c r="E28" s="20"/>
      <c r="F28" s="19">
        <f>IF(Information!$H$19="x",C28,0)</f>
        <v>86.36</v>
      </c>
      <c r="G28" s="136">
        <f>IF(Information!$H$19="x",D28,0)</f>
        <v>0</v>
      </c>
    </row>
    <row r="29" spans="1:18" x14ac:dyDescent="0.25">
      <c r="B29" s="1"/>
      <c r="C29" s="23"/>
      <c r="D29" s="24"/>
      <c r="E29" s="145"/>
      <c r="F29" s="146"/>
      <c r="G29" s="147"/>
    </row>
  </sheetData>
  <sheetProtection sheet="1" objects="1" scenarios="1"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Information</vt:lpstr>
      <vt:lpstr>Panel Calculations</vt:lpstr>
      <vt:lpstr>Path Calculations</vt:lpstr>
      <vt:lpstr>Guides</vt:lpstr>
      <vt:lpstr>Expansion</vt:lpstr>
      <vt:lpstr>Expansion_err</vt:lpstr>
      <vt:lpstr>Filename</vt:lpstr>
      <vt:lpstr>PanelE</vt:lpstr>
      <vt:lpstr>PanelE_err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Brian.Steele</dc:creator>
  <cp:lastModifiedBy>Brian.Steele</cp:lastModifiedBy>
  <cp:lastPrinted>2017-08-17T19:54:39Z</cp:lastPrinted>
  <dcterms:created xsi:type="dcterms:W3CDTF">2015-03-24T03:12:36Z</dcterms:created>
  <dcterms:modified xsi:type="dcterms:W3CDTF">2019-02-09T00:47:06Z</dcterms:modified>
</cp:coreProperties>
</file>