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Users\Brian.Steele\OneDrive\Documents\diyaudio\designs\POC4 - B&amp;C 18TBX100 TH\"/>
    </mc:Choice>
  </mc:AlternateContent>
  <xr:revisionPtr revIDLastSave="0" documentId="F893F79981C77ADDE8DA8A17532409F8FA7005EF" xr6:coauthVersionLast="21" xr6:coauthVersionMax="21" xr10:uidLastSave="{00000000-0000-0000-0000-000000000000}"/>
  <bookViews>
    <workbookView xWindow="240" yWindow="45" windowWidth="11655" windowHeight="5490" xr2:uid="{00000000-000D-0000-FFFF-FFFF00000000}"/>
  </bookViews>
  <sheets>
    <sheet name="Design" sheetId="6" r:id="rId1"/>
    <sheet name="Panels" sheetId="7" r:id="rId2"/>
    <sheet name="Path" sheetId="8" r:id="rId3"/>
    <sheet name="Guides" sheetId="9" r:id="rId4"/>
    <sheet name="Layout" sheetId="10" r:id="rId5"/>
    <sheet name="Instructions" sheetId="11" r:id="rId6"/>
    <sheet name="Bracing" sheetId="12" r:id="rId7"/>
  </sheets>
  <definedNames>
    <definedName name="Amin">#REF!</definedName>
    <definedName name="Ax">#REF!</definedName>
    <definedName name="Bx">#REF!</definedName>
    <definedName name="C_1x">#REF!</definedName>
    <definedName name="Cx">#REF!</definedName>
    <definedName name="D">#REF!</definedName>
    <definedName name="Delta">#REF!</definedName>
    <definedName name="dX">#REF!</definedName>
    <definedName name="dY">#REF!</definedName>
    <definedName name="H">#REF!</definedName>
    <definedName name="p">#REF!</definedName>
    <definedName name="W">#REF!</definedName>
  </definedNames>
  <calcPr calcId="171027"/>
</workbook>
</file>

<file path=xl/calcChain.xml><?xml version="1.0" encoding="utf-8"?>
<calcChain xmlns="http://schemas.openxmlformats.org/spreadsheetml/2006/main">
  <c r="D35" i="6" l="1"/>
  <c r="D36" i="6"/>
  <c r="F32" i="9"/>
  <c r="D32" i="9"/>
  <c r="G32" i="9"/>
  <c r="C32" i="9"/>
  <c r="F30" i="9"/>
  <c r="G29" i="9"/>
  <c r="D24" i="7"/>
  <c r="D25" i="7"/>
  <c r="C24" i="7"/>
  <c r="X5" i="9"/>
  <c r="X9" i="9" s="1"/>
  <c r="A12" i="7"/>
  <c r="A6" i="7"/>
  <c r="B56" i="6"/>
  <c r="B55" i="6"/>
  <c r="B54" i="6"/>
  <c r="B53" i="6"/>
  <c r="B51" i="6"/>
  <c r="B50" i="6"/>
  <c r="B49" i="6"/>
  <c r="E46" i="6"/>
  <c r="E55" i="6" s="1"/>
  <c r="I55" i="6" s="1"/>
  <c r="D16" i="6"/>
  <c r="F16" i="6" s="1"/>
  <c r="B48" i="6"/>
  <c r="B47" i="6"/>
  <c r="B46" i="6"/>
  <c r="C42" i="9"/>
  <c r="C43" i="9" s="1"/>
  <c r="F26" i="9"/>
  <c r="C26" i="9"/>
  <c r="T5" i="12" s="1"/>
  <c r="AA27" i="8"/>
  <c r="AA26" i="8"/>
  <c r="AA25" i="8"/>
  <c r="B6" i="8"/>
  <c r="N5" i="8"/>
  <c r="N6" i="8" s="1"/>
  <c r="O2" i="8"/>
  <c r="O3" i="8" s="1"/>
  <c r="N2" i="8"/>
  <c r="N3" i="8" s="1"/>
  <c r="M2" i="8"/>
  <c r="M3" i="8" s="1"/>
  <c r="B9" i="8"/>
  <c r="B12" i="8" s="1"/>
  <c r="B15" i="8" s="1"/>
  <c r="B18" i="8" s="1"/>
  <c r="B21" i="8" s="1"/>
  <c r="B24" i="8" s="1"/>
  <c r="B27" i="8" s="1"/>
  <c r="B30" i="8" s="1"/>
  <c r="B33" i="8" s="1"/>
  <c r="B36" i="8" s="1"/>
  <c r="B39" i="8" s="1"/>
  <c r="B42" i="8" s="1"/>
  <c r="B45" i="8" s="1"/>
  <c r="B48" i="8" s="1"/>
  <c r="B51" i="8" s="1"/>
  <c r="B54" i="8" s="1"/>
  <c r="B57" i="8" s="1"/>
  <c r="B60" i="8" s="1"/>
  <c r="B63" i="8" s="1"/>
  <c r="B66" i="8" s="1"/>
  <c r="B69" i="8" s="1"/>
  <c r="B72" i="8" s="1"/>
  <c r="B75" i="8" s="1"/>
  <c r="B78" i="8" s="1"/>
  <c r="B81" i="8" s="1"/>
  <c r="B84" i="8" s="1"/>
  <c r="B87" i="8" s="1"/>
  <c r="B90" i="8" s="1"/>
  <c r="B93" i="8" s="1"/>
  <c r="B96" i="8" s="1"/>
  <c r="B99" i="8" s="1"/>
  <c r="B102" i="8" s="1"/>
  <c r="B105" i="8" s="1"/>
  <c r="B108" i="8" s="1"/>
  <c r="B111" i="8" s="1"/>
  <c r="B114" i="8" s="1"/>
  <c r="B117" i="8" s="1"/>
  <c r="B120" i="8" s="1"/>
  <c r="B123" i="8" s="1"/>
  <c r="B126" i="8" s="1"/>
  <c r="S50" i="7"/>
  <c r="S49" i="7"/>
  <c r="S48" i="7"/>
  <c r="F17" i="6"/>
  <c r="F15" i="6"/>
  <c r="F8" i="6"/>
  <c r="F7" i="6"/>
  <c r="F6" i="6"/>
  <c r="F5" i="6"/>
  <c r="F4" i="6"/>
  <c r="S40" i="7"/>
  <c r="S39" i="7"/>
  <c r="S38" i="7"/>
  <c r="R2" i="7"/>
  <c r="S44" i="7" s="1"/>
  <c r="S12" i="7"/>
  <c r="S11" i="7"/>
  <c r="S10" i="7"/>
  <c r="D84" i="7"/>
  <c r="D88" i="7" s="1"/>
  <c r="F13" i="6"/>
  <c r="F11" i="6"/>
  <c r="R74" i="7"/>
  <c r="R73" i="7"/>
  <c r="R71" i="7"/>
  <c r="R70" i="7"/>
  <c r="R69" i="7"/>
  <c r="R68" i="7"/>
  <c r="R67" i="7"/>
  <c r="R66" i="7"/>
  <c r="R64" i="7"/>
  <c r="R63" i="7"/>
  <c r="R62" i="7"/>
  <c r="R61" i="7"/>
  <c r="R60" i="7"/>
  <c r="R59" i="7"/>
  <c r="S36" i="7"/>
  <c r="S35" i="7"/>
  <c r="S34" i="7"/>
  <c r="S31" i="7"/>
  <c r="S30" i="7"/>
  <c r="S29" i="7"/>
  <c r="S27" i="7"/>
  <c r="S26" i="7"/>
  <c r="S25" i="7"/>
  <c r="C37" i="7" s="1"/>
  <c r="C38" i="7" s="1"/>
  <c r="S8" i="7"/>
  <c r="S7" i="7"/>
  <c r="S6" i="7"/>
  <c r="G26" i="7"/>
  <c r="C30" i="9"/>
  <c r="C27" i="7"/>
  <c r="C33" i="9"/>
  <c r="F33" i="9"/>
  <c r="D41" i="6"/>
  <c r="F41" i="6" s="1"/>
  <c r="F12" i="6"/>
  <c r="F15" i="9"/>
  <c r="G3" i="12"/>
  <c r="G9" i="9"/>
  <c r="G20" i="9"/>
  <c r="G14" i="9"/>
  <c r="G5" i="12"/>
  <c r="G4" i="12"/>
  <c r="F11" i="12"/>
  <c r="F17" i="12"/>
  <c r="G15" i="12"/>
  <c r="F5" i="12"/>
  <c r="F6" i="12"/>
  <c r="F8" i="12"/>
  <c r="F12" i="12"/>
  <c r="F13" i="12"/>
  <c r="F20" i="12"/>
  <c r="F25" i="12"/>
  <c r="D28" i="7"/>
  <c r="G28" i="7" s="1"/>
  <c r="D6" i="7"/>
  <c r="D9" i="7"/>
  <c r="G9" i="7" s="1"/>
  <c r="Y5" i="9"/>
  <c r="Y9" i="9"/>
  <c r="F24" i="7"/>
  <c r="I25" i="7"/>
  <c r="K25" i="7" s="1"/>
  <c r="E48" i="6" s="1"/>
  <c r="X7" i="9"/>
  <c r="X11" i="9" s="1"/>
  <c r="X15" i="9" s="1"/>
  <c r="G17" i="12"/>
  <c r="G11" i="12"/>
  <c r="G16" i="12"/>
  <c r="F4" i="12"/>
  <c r="F16" i="12"/>
  <c r="F3" i="12"/>
  <c r="F15" i="12"/>
  <c r="G8" i="12"/>
  <c r="G12" i="12"/>
  <c r="G13" i="12"/>
  <c r="G7" i="12"/>
  <c r="F7" i="12"/>
  <c r="G6" i="12"/>
  <c r="G25" i="12"/>
  <c r="G20" i="12"/>
  <c r="F23" i="12"/>
  <c r="G23" i="12"/>
  <c r="G24" i="12"/>
  <c r="F21" i="12"/>
  <c r="F22" i="12"/>
  <c r="F24" i="12"/>
  <c r="G21" i="12"/>
  <c r="G22" i="12"/>
  <c r="F14" i="12"/>
  <c r="G9" i="12"/>
  <c r="G2" i="12"/>
  <c r="G14" i="12"/>
  <c r="F9" i="12"/>
  <c r="F2" i="12"/>
  <c r="D10" i="7"/>
  <c r="J10" i="7" s="1"/>
  <c r="D30" i="9"/>
  <c r="G30" i="9"/>
  <c r="W5" i="9"/>
  <c r="W9" i="9"/>
  <c r="W13" i="9" s="1"/>
  <c r="J25" i="7"/>
  <c r="G25" i="7"/>
  <c r="D36" i="7"/>
  <c r="G24" i="7"/>
  <c r="E54" i="6"/>
  <c r="D15" i="9"/>
  <c r="G15" i="9"/>
  <c r="G6" i="7"/>
  <c r="C28" i="7"/>
  <c r="I28" i="7" s="1"/>
  <c r="K28" i="7" s="1"/>
  <c r="D12" i="7"/>
  <c r="G12" i="7" s="1"/>
  <c r="C6" i="7"/>
  <c r="C36" i="7"/>
  <c r="C21" i="9"/>
  <c r="F21" i="9"/>
  <c r="S45" i="7"/>
  <c r="F27" i="7"/>
  <c r="C24" i="9"/>
  <c r="F24" i="9"/>
  <c r="C27" i="9"/>
  <c r="C18" i="9"/>
  <c r="D27" i="9"/>
  <c r="W5" i="12" s="1"/>
  <c r="S19" i="7"/>
  <c r="G125" i="8"/>
  <c r="Y13" i="9"/>
  <c r="S43" i="7"/>
  <c r="E47" i="6"/>
  <c r="C6" i="11" s="1"/>
  <c r="C15" i="9"/>
  <c r="S16" i="7"/>
  <c r="S20" i="7"/>
  <c r="C26" i="7"/>
  <c r="I27" i="7" s="1"/>
  <c r="K27" i="7" s="1"/>
  <c r="I26" i="7"/>
  <c r="K26" i="7" s="1"/>
  <c r="F48" i="6" s="1"/>
  <c r="I48" i="6" s="1"/>
  <c r="S17" i="7"/>
  <c r="F25" i="7"/>
  <c r="S15" i="7"/>
  <c r="C12" i="7"/>
  <c r="C16" i="7" s="1"/>
  <c r="F16" i="7" s="1"/>
  <c r="S21" i="7"/>
  <c r="V5" i="9"/>
  <c r="V9" i="9" s="1"/>
  <c r="D14" i="9"/>
  <c r="J26" i="7"/>
  <c r="D20" i="9"/>
  <c r="D7" i="7"/>
  <c r="D8" i="7" s="1"/>
  <c r="D30" i="7"/>
  <c r="D9" i="9"/>
  <c r="D27" i="7"/>
  <c r="D29" i="9"/>
  <c r="W7" i="9"/>
  <c r="W11" i="9"/>
  <c r="W15" i="9" s="1"/>
  <c r="G27" i="9"/>
  <c r="V7" i="12"/>
  <c r="F18" i="9"/>
  <c r="V5" i="12"/>
  <c r="F27" i="9"/>
  <c r="G36" i="7"/>
  <c r="F8" i="9"/>
  <c r="C10" i="7"/>
  <c r="F10" i="7" s="1"/>
  <c r="C7" i="7"/>
  <c r="I7" i="7" s="1"/>
  <c r="K7" i="7" s="1"/>
  <c r="F46" i="6" s="1"/>
  <c r="I46" i="6" s="1"/>
  <c r="F6" i="7"/>
  <c r="C86" i="8"/>
  <c r="F28" i="7"/>
  <c r="D15" i="7"/>
  <c r="D129" i="8" s="1"/>
  <c r="F36" i="7"/>
  <c r="C39" i="7"/>
  <c r="AA5" i="9"/>
  <c r="C20" i="9"/>
  <c r="F20" i="9"/>
  <c r="C29" i="9"/>
  <c r="F29" i="9"/>
  <c r="V7" i="9"/>
  <c r="AA7" i="9" s="1"/>
  <c r="C14" i="9"/>
  <c r="F14" i="9"/>
  <c r="C23" i="9"/>
  <c r="F23" i="9"/>
  <c r="F26" i="7"/>
  <c r="E49" i="6"/>
  <c r="J7" i="7"/>
  <c r="D31" i="7"/>
  <c r="G31" i="7" s="1"/>
  <c r="D34" i="7"/>
  <c r="G34" i="7"/>
  <c r="G30" i="7"/>
  <c r="D5" i="12"/>
  <c r="Y7" i="9"/>
  <c r="J28" i="7"/>
  <c r="D21" i="9"/>
  <c r="G21" i="9"/>
  <c r="G27" i="7"/>
  <c r="D33" i="9"/>
  <c r="G33" i="9"/>
  <c r="J27" i="7"/>
  <c r="AD27" i="8"/>
  <c r="G26" i="9"/>
  <c r="F17" i="9"/>
  <c r="F86" i="8"/>
  <c r="C89" i="8"/>
  <c r="F7" i="7"/>
  <c r="D125" i="8"/>
  <c r="D126" i="8" s="1"/>
  <c r="I125" i="8" s="1"/>
  <c r="K125" i="8" s="1"/>
  <c r="K126" i="8" s="1"/>
  <c r="K127" i="8" s="1"/>
  <c r="G129" i="8"/>
  <c r="G69" i="8"/>
  <c r="C40" i="7"/>
  <c r="F40" i="7" s="1"/>
  <c r="C36" i="8"/>
  <c r="C39" i="8" s="1"/>
  <c r="C42" i="8" s="1"/>
  <c r="C45" i="8" s="1"/>
  <c r="C16" i="12"/>
  <c r="F39" i="7"/>
  <c r="G66" i="8"/>
  <c r="G63" i="8"/>
  <c r="G72" i="8"/>
  <c r="G21" i="8"/>
  <c r="D32" i="7"/>
  <c r="D33" i="7" s="1"/>
  <c r="D98" i="8"/>
  <c r="J31" i="7"/>
  <c r="Y11" i="9"/>
  <c r="Y15" i="9" s="1"/>
  <c r="Z7" i="9"/>
  <c r="F128" i="8"/>
  <c r="F125" i="8"/>
  <c r="AE27" i="8"/>
  <c r="G8" i="9"/>
  <c r="G126" i="8"/>
  <c r="F89" i="8"/>
  <c r="C95" i="8"/>
  <c r="F95" i="8"/>
  <c r="I40" i="7"/>
  <c r="F36" i="8"/>
  <c r="G75" i="8"/>
  <c r="G128" i="8"/>
  <c r="G24" i="8"/>
  <c r="G98" i="8"/>
  <c r="D102" i="8"/>
  <c r="D105" i="8" s="1"/>
  <c r="D108" i="8" s="1"/>
  <c r="F119" i="8"/>
  <c r="G27" i="8"/>
  <c r="C92" i="8"/>
  <c r="F92" i="8"/>
  <c r="F39" i="8"/>
  <c r="G30" i="8"/>
  <c r="G33" i="8"/>
  <c r="G48" i="8"/>
  <c r="G78" i="8"/>
  <c r="F57" i="8"/>
  <c r="G102" i="8"/>
  <c r="F3" i="8"/>
  <c r="G119" i="8"/>
  <c r="F54" i="8"/>
  <c r="F45" i="8"/>
  <c r="F42" i="8"/>
  <c r="G3" i="8"/>
  <c r="G80" i="8"/>
  <c r="G83" i="8"/>
  <c r="G51" i="8"/>
  <c r="F111" i="8"/>
  <c r="F60" i="8"/>
  <c r="G105" i="8"/>
  <c r="G108" i="8"/>
  <c r="F6" i="8"/>
  <c r="F116" i="8"/>
  <c r="AD25" i="8"/>
  <c r="T56" i="7"/>
  <c r="S56" i="7"/>
  <c r="G6" i="8"/>
  <c r="AE25" i="8"/>
  <c r="F9" i="9"/>
  <c r="F66" i="8"/>
  <c r="F63" i="8"/>
  <c r="G54" i="8"/>
  <c r="G57" i="8"/>
  <c r="F114" i="8"/>
  <c r="F69" i="8"/>
  <c r="F104" i="8"/>
  <c r="G116" i="8"/>
  <c r="G104" i="8"/>
  <c r="G60" i="8"/>
  <c r="G117" i="8"/>
  <c r="F117" i="8"/>
  <c r="F72" i="8"/>
  <c r="F93" i="8"/>
  <c r="F96" i="8"/>
  <c r="F107" i="8"/>
  <c r="G96" i="8"/>
  <c r="G26" i="8"/>
  <c r="F77" i="8"/>
  <c r="G107" i="8"/>
  <c r="F75" i="8"/>
  <c r="F120" i="8"/>
  <c r="F123" i="8"/>
  <c r="F129" i="8"/>
  <c r="F126" i="8"/>
  <c r="F105" i="8"/>
  <c r="F99" i="8"/>
  <c r="F110" i="8"/>
  <c r="F26" i="8"/>
  <c r="G93" i="8"/>
  <c r="G110" i="8"/>
  <c r="G99" i="8"/>
  <c r="G81" i="8"/>
  <c r="G17" i="8"/>
  <c r="F74" i="8"/>
  <c r="G120" i="8"/>
  <c r="F81" i="8"/>
  <c r="F78" i="8"/>
  <c r="F113" i="8"/>
  <c r="F101" i="8"/>
  <c r="F98" i="8"/>
  <c r="F27" i="8"/>
  <c r="G17" i="9"/>
  <c r="G18" i="9"/>
  <c r="G24" i="9"/>
  <c r="G111" i="8"/>
  <c r="G29" i="8"/>
  <c r="G101" i="8"/>
  <c r="G20" i="8"/>
  <c r="F102" i="8"/>
  <c r="G84" i="8"/>
  <c r="F84" i="8"/>
  <c r="F29" i="8"/>
  <c r="G23" i="9"/>
  <c r="F108" i="8"/>
  <c r="G77" i="8"/>
  <c r="F122" i="8"/>
  <c r="G87" i="8"/>
  <c r="G23" i="8"/>
  <c r="G32" i="8"/>
  <c r="G36" i="8"/>
  <c r="G41" i="8"/>
  <c r="F87" i="8"/>
  <c r="G114" i="8"/>
  <c r="F32" i="8"/>
  <c r="G122" i="8"/>
  <c r="G74" i="8"/>
  <c r="G90" i="8"/>
  <c r="F80" i="8"/>
  <c r="G113" i="8"/>
  <c r="G44" i="8"/>
  <c r="G35" i="8"/>
  <c r="G38" i="8"/>
  <c r="F33" i="8"/>
  <c r="F30" i="8"/>
  <c r="F90" i="8"/>
  <c r="F68" i="8"/>
  <c r="G68" i="8"/>
  <c r="F35" i="8"/>
  <c r="F83" i="8"/>
  <c r="G47" i="8"/>
  <c r="G123" i="8"/>
  <c r="G92" i="8"/>
  <c r="G89" i="8"/>
  <c r="G53" i="8"/>
  <c r="F53" i="8"/>
  <c r="F59" i="8"/>
  <c r="F62" i="8"/>
  <c r="G12" i="8"/>
  <c r="F71" i="8"/>
  <c r="F65" i="8"/>
  <c r="F38" i="8"/>
  <c r="F12" i="8"/>
  <c r="G50" i="8"/>
  <c r="G59" i="8"/>
  <c r="G62" i="8"/>
  <c r="G65" i="8"/>
  <c r="G95" i="8"/>
  <c r="F9" i="8"/>
  <c r="G71" i="8"/>
  <c r="G9" i="8"/>
  <c r="G86" i="8"/>
  <c r="F56" i="8"/>
  <c r="F12" i="9"/>
  <c r="G12" i="9"/>
  <c r="F11" i="9"/>
  <c r="G11" i="9"/>
  <c r="F41" i="8"/>
  <c r="G42" i="8"/>
  <c r="G39" i="8"/>
  <c r="G56" i="8"/>
  <c r="F2" i="8"/>
  <c r="F44" i="8"/>
  <c r="F17" i="8"/>
  <c r="G45" i="8"/>
  <c r="G2" i="8"/>
  <c r="G3" i="9"/>
  <c r="F3" i="9"/>
  <c r="G2" i="9"/>
  <c r="F2" i="9"/>
  <c r="F14" i="8"/>
  <c r="F48" i="8"/>
  <c r="F47" i="8"/>
  <c r="F20" i="8"/>
  <c r="F5" i="8"/>
  <c r="G5" i="8"/>
  <c r="G14" i="8"/>
  <c r="F23" i="8"/>
  <c r="F50" i="8"/>
  <c r="F11" i="8"/>
  <c r="G11" i="8"/>
  <c r="AD26" i="8"/>
  <c r="F15" i="8"/>
  <c r="F51" i="8"/>
  <c r="F21" i="8"/>
  <c r="F24" i="8"/>
  <c r="G5" i="9"/>
  <c r="F5" i="9"/>
  <c r="F6" i="9"/>
  <c r="G6" i="9"/>
  <c r="F8" i="8"/>
  <c r="G15" i="8"/>
  <c r="AE26" i="8"/>
  <c r="G18" i="8"/>
  <c r="G8" i="8"/>
  <c r="F18" i="8"/>
  <c r="J34" i="7" l="1"/>
  <c r="G33" i="7"/>
  <c r="J8" i="7"/>
  <c r="G8" i="7"/>
  <c r="J9" i="7"/>
  <c r="U127" i="8"/>
  <c r="U126" i="8"/>
  <c r="B129" i="8"/>
  <c r="U125" i="8"/>
  <c r="Z9" i="9"/>
  <c r="X13" i="9"/>
  <c r="Z13" i="9" s="1"/>
  <c r="AA15" i="9"/>
  <c r="V13" i="9"/>
  <c r="AA13" i="9" s="1"/>
  <c r="AA9" i="9"/>
  <c r="C4" i="11"/>
  <c r="J37" i="7"/>
  <c r="J32" i="7"/>
  <c r="C8" i="7"/>
  <c r="G7" i="7"/>
  <c r="E51" i="6"/>
  <c r="I51" i="6" s="1"/>
  <c r="C17" i="9"/>
  <c r="T7" i="12" s="1"/>
  <c r="V11" i="9"/>
  <c r="V15" i="9" s="1"/>
  <c r="Z15" i="9" s="1"/>
  <c r="Z5" i="9"/>
  <c r="E53" i="6"/>
  <c r="C31" i="7"/>
  <c r="I47" i="6"/>
  <c r="G32" i="7"/>
  <c r="C84" i="7"/>
  <c r="C13" i="7"/>
  <c r="E50" i="6"/>
  <c r="G10" i="7"/>
  <c r="J33" i="7"/>
  <c r="F12" i="7"/>
  <c r="D13" i="7"/>
  <c r="E56" i="6"/>
  <c r="I56" i="6" s="1"/>
  <c r="G15" i="7"/>
  <c r="D16" i="7"/>
  <c r="G16" i="7" s="1"/>
  <c r="Z11" i="9"/>
  <c r="D4" i="12"/>
  <c r="J13" i="7"/>
  <c r="D37" i="7"/>
  <c r="T91" i="7"/>
  <c r="C43" i="7"/>
  <c r="C11" i="12"/>
  <c r="C17" i="12" s="1"/>
  <c r="F38" i="7"/>
  <c r="I39" i="7"/>
  <c r="C18" i="7"/>
  <c r="F37" i="7"/>
  <c r="C21" i="7"/>
  <c r="I37" i="7"/>
  <c r="K37" i="7" s="1"/>
  <c r="F50" i="6" s="1"/>
  <c r="I38" i="7"/>
  <c r="D3" i="12"/>
  <c r="D85" i="7"/>
  <c r="G84" i="7"/>
  <c r="G88" i="7"/>
  <c r="C9" i="7" l="1"/>
  <c r="I9" i="7" s="1"/>
  <c r="K9" i="7" s="1"/>
  <c r="F8" i="7"/>
  <c r="I8" i="7"/>
  <c r="K8" i="7" s="1"/>
  <c r="J16" i="7"/>
  <c r="C32" i="7"/>
  <c r="I32" i="7"/>
  <c r="K32" i="7" s="1"/>
  <c r="F31" i="7"/>
  <c r="C4" i="12"/>
  <c r="C14" i="7"/>
  <c r="I14" i="7"/>
  <c r="F13" i="7"/>
  <c r="AA11" i="9"/>
  <c r="C88" i="7"/>
  <c r="C3" i="12"/>
  <c r="C87" i="7"/>
  <c r="C85" i="7"/>
  <c r="F84" i="7"/>
  <c r="L84" i="7"/>
  <c r="M84" i="7" s="1"/>
  <c r="J14" i="7"/>
  <c r="G13" i="7"/>
  <c r="D14" i="7"/>
  <c r="D40" i="7"/>
  <c r="G40" i="7" s="1"/>
  <c r="G37" i="7"/>
  <c r="D38" i="7"/>
  <c r="D21" i="7"/>
  <c r="I13" i="7"/>
  <c r="K13" i="7" s="1"/>
  <c r="C8" i="9"/>
  <c r="AB27" i="8"/>
  <c r="F21" i="7"/>
  <c r="AC7" i="8"/>
  <c r="C22" i="7"/>
  <c r="S54" i="7"/>
  <c r="F18" i="7"/>
  <c r="C125" i="8"/>
  <c r="C128" i="8"/>
  <c r="T8" i="12"/>
  <c r="C19" i="7"/>
  <c r="I19" i="7" s="1"/>
  <c r="I50" i="6"/>
  <c r="J85" i="7"/>
  <c r="D26" i="9"/>
  <c r="U5" i="12" s="1"/>
  <c r="D72" i="8"/>
  <c r="D75" i="8" s="1"/>
  <c r="D78" i="8" s="1"/>
  <c r="D80" i="8" s="1"/>
  <c r="G85" i="7"/>
  <c r="D86" i="7"/>
  <c r="D69" i="8" s="1"/>
  <c r="V12" i="7"/>
  <c r="G14" i="7" l="1"/>
  <c r="J15" i="7"/>
  <c r="L87" i="7"/>
  <c r="M87" i="7" s="1"/>
  <c r="F88" i="7"/>
  <c r="F32" i="7"/>
  <c r="D18" i="7"/>
  <c r="AC27" i="8"/>
  <c r="G21" i="7"/>
  <c r="D8" i="9"/>
  <c r="AD7" i="8"/>
  <c r="G38" i="7"/>
  <c r="D21" i="8"/>
  <c r="D24" i="8" s="1"/>
  <c r="J39" i="7"/>
  <c r="K39" i="7" s="1"/>
  <c r="D11" i="12"/>
  <c r="D17" i="12" s="1"/>
  <c r="D39" i="7"/>
  <c r="K14" i="7"/>
  <c r="J38" i="7"/>
  <c r="K38" i="7" s="1"/>
  <c r="I85" i="7"/>
  <c r="K85" i="7" s="1"/>
  <c r="C86" i="7"/>
  <c r="F85" i="7"/>
  <c r="C15" i="7"/>
  <c r="F14" i="7"/>
  <c r="C30" i="7"/>
  <c r="F87" i="7"/>
  <c r="C15" i="12"/>
  <c r="V11" i="12"/>
  <c r="I88" i="7"/>
  <c r="I10" i="7"/>
  <c r="K10" i="7" s="1"/>
  <c r="F9" i="7"/>
  <c r="AC6" i="8"/>
  <c r="F22" i="7"/>
  <c r="I22" i="7"/>
  <c r="C119" i="8"/>
  <c r="AA6" i="8"/>
  <c r="S53" i="7"/>
  <c r="C20" i="7"/>
  <c r="I20" i="7" s="1"/>
  <c r="V8" i="12"/>
  <c r="F19" i="7"/>
  <c r="J86" i="7"/>
  <c r="G86" i="7"/>
  <c r="D87" i="7"/>
  <c r="J87" i="7"/>
  <c r="U11" i="12"/>
  <c r="D66" i="8"/>
  <c r="D83" i="8"/>
  <c r="X5" i="12"/>
  <c r="Y5" i="12"/>
  <c r="D63" i="8"/>
  <c r="V11" i="7"/>
  <c r="V10" i="7"/>
  <c r="F15" i="7" l="1"/>
  <c r="I16" i="7"/>
  <c r="K16" i="7" s="1"/>
  <c r="D27" i="8"/>
  <c r="D30" i="8"/>
  <c r="D33" i="8" s="1"/>
  <c r="T54" i="7"/>
  <c r="D128" i="8"/>
  <c r="I128" i="8" s="1"/>
  <c r="K128" i="8" s="1"/>
  <c r="D22" i="7"/>
  <c r="G18" i="7"/>
  <c r="U8" i="12"/>
  <c r="D19" i="7"/>
  <c r="J19" i="7" s="1"/>
  <c r="K19" i="7" s="1"/>
  <c r="K87" i="7"/>
  <c r="I86" i="7"/>
  <c r="F86" i="7"/>
  <c r="I87" i="7"/>
  <c r="T11" i="12"/>
  <c r="L85" i="7"/>
  <c r="M85" i="7" s="1"/>
  <c r="C57" i="8"/>
  <c r="C60" i="8" s="1"/>
  <c r="C54" i="8"/>
  <c r="C111" i="8"/>
  <c r="C114" i="8" s="1"/>
  <c r="C5" i="12"/>
  <c r="C6" i="12" s="1"/>
  <c r="C33" i="7"/>
  <c r="I31" i="7"/>
  <c r="K31" i="7" s="1"/>
  <c r="F49" i="6" s="1"/>
  <c r="F30" i="7"/>
  <c r="C34" i="7"/>
  <c r="F34" i="7" s="1"/>
  <c r="G39" i="7"/>
  <c r="D16" i="12"/>
  <c r="J40" i="7"/>
  <c r="K40" i="7" s="1"/>
  <c r="K86" i="7"/>
  <c r="I15" i="7"/>
  <c r="K15" i="7" s="1"/>
  <c r="F20" i="7"/>
  <c r="C3" i="8"/>
  <c r="C6" i="8" s="1"/>
  <c r="AB25" i="8"/>
  <c r="C57" i="7"/>
  <c r="C48" i="7"/>
  <c r="C63" i="7"/>
  <c r="I21" i="7"/>
  <c r="AA7" i="8"/>
  <c r="U54" i="7"/>
  <c r="W11" i="12"/>
  <c r="D48" i="8"/>
  <c r="D15" i="12"/>
  <c r="G87" i="7"/>
  <c r="J88" i="7"/>
  <c r="K88" i="7" s="1"/>
  <c r="L86" i="7"/>
  <c r="M86" i="7" s="1"/>
  <c r="K129" i="8" l="1"/>
  <c r="U128" i="8"/>
  <c r="C66" i="8"/>
  <c r="C69" i="8"/>
  <c r="C72" i="8" s="1"/>
  <c r="C75" i="8" s="1"/>
  <c r="C78" i="8" s="1"/>
  <c r="C63" i="8"/>
  <c r="AD6" i="8"/>
  <c r="G22" i="7"/>
  <c r="J22" i="7"/>
  <c r="K22" i="7" s="1"/>
  <c r="L21" i="7"/>
  <c r="M21" i="7" s="1"/>
  <c r="C117" i="8"/>
  <c r="T53" i="7"/>
  <c r="V54" i="7" s="1"/>
  <c r="X54" i="7" s="1"/>
  <c r="D20" i="7"/>
  <c r="G19" i="7"/>
  <c r="D119" i="8"/>
  <c r="W8" i="12"/>
  <c r="AB6" i="8"/>
  <c r="L18" i="7"/>
  <c r="M18" i="7" s="1"/>
  <c r="I49" i="6"/>
  <c r="C10" i="11"/>
  <c r="I34" i="7"/>
  <c r="K34" i="7" s="1"/>
  <c r="F33" i="7"/>
  <c r="I33" i="7"/>
  <c r="K33" i="7" s="1"/>
  <c r="C54" i="7"/>
  <c r="T13" i="12"/>
  <c r="F63" i="7"/>
  <c r="AA18" i="8"/>
  <c r="C64" i="7"/>
  <c r="I64" i="7" s="1"/>
  <c r="W54" i="7"/>
  <c r="T14" i="12"/>
  <c r="F48" i="7"/>
  <c r="AA9" i="8"/>
  <c r="C49" i="7"/>
  <c r="I49" i="7" s="1"/>
  <c r="C52" i="7"/>
  <c r="C116" i="8"/>
  <c r="D51" i="8"/>
  <c r="Y11" i="12"/>
  <c r="X11" i="12"/>
  <c r="AF6" i="8" l="1"/>
  <c r="AE6" i="8"/>
  <c r="D63" i="7"/>
  <c r="AB7" i="8"/>
  <c r="D48" i="7"/>
  <c r="D57" i="7"/>
  <c r="D54" i="7" s="1"/>
  <c r="G20" i="7"/>
  <c r="AC25" i="8"/>
  <c r="J21" i="7"/>
  <c r="K21" i="7" s="1"/>
  <c r="D3" i="8"/>
  <c r="D6" i="8" s="1"/>
  <c r="L20" i="7"/>
  <c r="T84" i="7"/>
  <c r="S87" i="7" s="1"/>
  <c r="C9" i="9"/>
  <c r="L19" i="7"/>
  <c r="M19" i="7" s="1"/>
  <c r="S83" i="7"/>
  <c r="J20" i="7"/>
  <c r="K20" i="7" s="1"/>
  <c r="C126" i="8"/>
  <c r="C129" i="8"/>
  <c r="C120" i="8"/>
  <c r="Y8" i="12"/>
  <c r="X8" i="12"/>
  <c r="K130" i="8"/>
  <c r="U130" i="8" s="1"/>
  <c r="U129" i="8"/>
  <c r="H116" i="8"/>
  <c r="T60" i="7"/>
  <c r="S60" i="7"/>
  <c r="F52" i="7"/>
  <c r="C60" i="7"/>
  <c r="F64" i="7"/>
  <c r="C50" i="7"/>
  <c r="I50" i="7" s="1"/>
  <c r="F49" i="7"/>
  <c r="C104" i="8"/>
  <c r="AC18" i="8"/>
  <c r="C58" i="7"/>
  <c r="C55" i="7"/>
  <c r="I55" i="7" s="1"/>
  <c r="D54" i="8"/>
  <c r="D55" i="7" l="1"/>
  <c r="D58" i="7"/>
  <c r="J58" i="7" s="1"/>
  <c r="J55" i="7"/>
  <c r="AB9" i="8"/>
  <c r="U14" i="12"/>
  <c r="D116" i="8"/>
  <c r="D117" i="8" s="1"/>
  <c r="I116" i="8" s="1"/>
  <c r="K116" i="8" s="1"/>
  <c r="K117" i="8" s="1"/>
  <c r="D52" i="7"/>
  <c r="G52" i="7" s="1"/>
  <c r="G48" i="7"/>
  <c r="D49" i="7"/>
  <c r="J49" i="7" s="1"/>
  <c r="K49" i="7" s="1"/>
  <c r="H119" i="8"/>
  <c r="J119" i="8" s="1"/>
  <c r="J120" i="8" s="1"/>
  <c r="J121" i="8" s="1"/>
  <c r="C123" i="8"/>
  <c r="D64" i="7"/>
  <c r="U13" i="12"/>
  <c r="G63" i="7"/>
  <c r="AB18" i="8"/>
  <c r="AD18" i="8" s="1"/>
  <c r="P87" i="7"/>
  <c r="M20" i="7"/>
  <c r="P88" i="7" s="1"/>
  <c r="H128" i="8"/>
  <c r="O130" i="8"/>
  <c r="P130" i="8" s="1"/>
  <c r="Q130" i="8" s="1"/>
  <c r="K55" i="7"/>
  <c r="H125" i="8"/>
  <c r="J125" i="8" s="1"/>
  <c r="J126" i="8" s="1"/>
  <c r="J127" i="8" s="1"/>
  <c r="O127" i="8"/>
  <c r="AE7" i="8"/>
  <c r="AF7" i="8"/>
  <c r="AE18" i="8"/>
  <c r="D120" i="8"/>
  <c r="I119" i="8" s="1"/>
  <c r="K119" i="8" s="1"/>
  <c r="S84" i="7"/>
  <c r="S86" i="7"/>
  <c r="T86" i="7" s="1"/>
  <c r="T87" i="7" s="1"/>
  <c r="T83" i="7"/>
  <c r="L57" i="7"/>
  <c r="M57" i="7" s="1"/>
  <c r="I58" i="7"/>
  <c r="K58" i="7" s="1"/>
  <c r="S67" i="7"/>
  <c r="U60" i="7"/>
  <c r="S64" i="7"/>
  <c r="U64" i="7" s="1"/>
  <c r="S59" i="7"/>
  <c r="U59" i="7" s="1"/>
  <c r="S61" i="7"/>
  <c r="V6" i="9"/>
  <c r="AA10" i="8"/>
  <c r="F60" i="7"/>
  <c r="T67" i="7"/>
  <c r="T59" i="7"/>
  <c r="V59" i="7" s="1"/>
  <c r="V60" i="7"/>
  <c r="T61" i="7"/>
  <c r="T64" i="7"/>
  <c r="V64" i="7" s="1"/>
  <c r="U116" i="8"/>
  <c r="C107" i="8"/>
  <c r="C56" i="7"/>
  <c r="L54" i="7"/>
  <c r="AF18" i="8"/>
  <c r="C93" i="8"/>
  <c r="C8" i="12"/>
  <c r="C96" i="8"/>
  <c r="F50" i="7"/>
  <c r="V14" i="9"/>
  <c r="C51" i="7"/>
  <c r="I51" i="7" s="1"/>
  <c r="J116" i="8"/>
  <c r="J117" i="8" s="1"/>
  <c r="J118" i="8" s="1"/>
  <c r="M121" i="8"/>
  <c r="M122" i="8" s="1"/>
  <c r="M123" i="8" s="1"/>
  <c r="D60" i="8"/>
  <c r="C77" i="8" s="1"/>
  <c r="D57" i="8"/>
  <c r="J64" i="7" l="1"/>
  <c r="K64" i="7" s="1"/>
  <c r="G64" i="7"/>
  <c r="D60" i="7"/>
  <c r="L63" i="7"/>
  <c r="M63" i="7" s="1"/>
  <c r="O121" i="8"/>
  <c r="U119" i="8"/>
  <c r="K120" i="8"/>
  <c r="J128" i="8"/>
  <c r="J129" i="8" s="1"/>
  <c r="J130" i="8" s="1"/>
  <c r="M130" i="8"/>
  <c r="O118" i="8"/>
  <c r="G49" i="7"/>
  <c r="D104" i="8"/>
  <c r="D50" i="7"/>
  <c r="L48" i="7"/>
  <c r="M48" i="7" s="1"/>
  <c r="P127" i="8"/>
  <c r="Q127" i="8" s="1"/>
  <c r="O128" i="8"/>
  <c r="D56" i="7"/>
  <c r="J56" i="7"/>
  <c r="T62" i="7"/>
  <c r="T68" i="7"/>
  <c r="V61" i="7"/>
  <c r="H92" i="8"/>
  <c r="U61" i="7"/>
  <c r="S68" i="7"/>
  <c r="S62" i="7"/>
  <c r="O119" i="8"/>
  <c r="P118" i="8"/>
  <c r="Q118" i="8" s="1"/>
  <c r="V67" i="7"/>
  <c r="AD5" i="8"/>
  <c r="T71" i="7"/>
  <c r="V71" i="7" s="1"/>
  <c r="T66" i="7"/>
  <c r="V66" i="7" s="1"/>
  <c r="M54" i="7"/>
  <c r="P85" i="7"/>
  <c r="C67" i="7"/>
  <c r="L55" i="7"/>
  <c r="M55" i="7" s="1"/>
  <c r="C72" i="7"/>
  <c r="I57" i="7"/>
  <c r="C26" i="8"/>
  <c r="L56" i="7"/>
  <c r="M56" i="7" s="1"/>
  <c r="S71" i="7"/>
  <c r="U71" i="7" s="1"/>
  <c r="S66" i="7"/>
  <c r="U66" i="7" s="1"/>
  <c r="AC5" i="8"/>
  <c r="AC12" i="8" s="1"/>
  <c r="AC16" i="8" s="1"/>
  <c r="U67" i="7"/>
  <c r="C81" i="8"/>
  <c r="C84" i="8" s="1"/>
  <c r="C87" i="8" s="1"/>
  <c r="AC9" i="8"/>
  <c r="V14" i="12"/>
  <c r="I52" i="7"/>
  <c r="F51" i="7"/>
  <c r="I56" i="7"/>
  <c r="K56" i="7" s="1"/>
  <c r="K118" i="8"/>
  <c r="U118" i="8" s="1"/>
  <c r="U117" i="8"/>
  <c r="C99" i="8"/>
  <c r="H95" i="8"/>
  <c r="C110" i="8"/>
  <c r="C74" i="8"/>
  <c r="H77" i="8"/>
  <c r="U120" i="8" l="1"/>
  <c r="K121" i="8"/>
  <c r="U121" i="8" s="1"/>
  <c r="I104" i="8"/>
  <c r="K104" i="8" s="1"/>
  <c r="D107" i="8"/>
  <c r="C105" i="8"/>
  <c r="O122" i="8"/>
  <c r="P121" i="8"/>
  <c r="Q121" i="8" s="1"/>
  <c r="W6" i="9"/>
  <c r="G60" i="7"/>
  <c r="AB10" i="8"/>
  <c r="J50" i="7"/>
  <c r="K50" i="7" s="1"/>
  <c r="J51" i="7"/>
  <c r="K51" i="7" s="1"/>
  <c r="D93" i="8"/>
  <c r="D96" i="8"/>
  <c r="D99" i="8" s="1"/>
  <c r="W14" i="9"/>
  <c r="G50" i="7"/>
  <c r="D8" i="12"/>
  <c r="D51" i="7"/>
  <c r="L49" i="7"/>
  <c r="M49" i="7" s="1"/>
  <c r="D17" i="9"/>
  <c r="U7" i="12" s="1"/>
  <c r="D18" i="9"/>
  <c r="W7" i="12" s="1"/>
  <c r="D26" i="8"/>
  <c r="I26" i="8" s="1"/>
  <c r="K26" i="8" s="1"/>
  <c r="J57" i="7"/>
  <c r="K57" i="7" s="1"/>
  <c r="D67" i="7"/>
  <c r="D72" i="7"/>
  <c r="O129" i="8"/>
  <c r="P129" i="8" s="1"/>
  <c r="Q129" i="8" s="1"/>
  <c r="P128" i="8"/>
  <c r="Q128" i="8" s="1"/>
  <c r="C101" i="8"/>
  <c r="C98" i="8"/>
  <c r="V16" i="12"/>
  <c r="F67" i="7"/>
  <c r="O120" i="8"/>
  <c r="P120" i="8" s="1"/>
  <c r="Q120" i="8" s="1"/>
  <c r="P119" i="8"/>
  <c r="Q119" i="8" s="1"/>
  <c r="V68" i="7"/>
  <c r="T69" i="7"/>
  <c r="AB5" i="8"/>
  <c r="H110" i="8"/>
  <c r="C113" i="8"/>
  <c r="V62" i="7"/>
  <c r="T63" i="7"/>
  <c r="C90" i="8"/>
  <c r="H86" i="8"/>
  <c r="U62" i="7"/>
  <c r="S63" i="7"/>
  <c r="F72" i="7"/>
  <c r="C76" i="7"/>
  <c r="C73" i="7"/>
  <c r="C12" i="12"/>
  <c r="AA5" i="8"/>
  <c r="S69" i="7"/>
  <c r="U68" i="7"/>
  <c r="J92" i="8"/>
  <c r="J93" i="8" s="1"/>
  <c r="J94" i="8" s="1"/>
  <c r="J95" i="8"/>
  <c r="J96" i="8" s="1"/>
  <c r="J97" i="8" s="1"/>
  <c r="AD12" i="8"/>
  <c r="H74" i="8"/>
  <c r="J74" i="8" s="1"/>
  <c r="J75" i="8" s="1"/>
  <c r="J76" i="8" s="1"/>
  <c r="J77" i="8"/>
  <c r="J78" i="8" s="1"/>
  <c r="J79" i="8" s="1"/>
  <c r="C108" i="8" l="1"/>
  <c r="O106" i="8"/>
  <c r="H104" i="8"/>
  <c r="J104" i="8" s="1"/>
  <c r="J105" i="8" s="1"/>
  <c r="J106" i="8" s="1"/>
  <c r="D110" i="8"/>
  <c r="I107" i="8"/>
  <c r="K107" i="8" s="1"/>
  <c r="D111" i="8"/>
  <c r="AD9" i="8"/>
  <c r="J52" i="7"/>
  <c r="K52" i="7" s="1"/>
  <c r="G51" i="7"/>
  <c r="D81" i="8"/>
  <c r="W14" i="12"/>
  <c r="L51" i="7"/>
  <c r="M51" i="7" s="1"/>
  <c r="L50" i="7"/>
  <c r="M50" i="7" s="1"/>
  <c r="D77" i="8"/>
  <c r="U104" i="8"/>
  <c r="K105" i="8"/>
  <c r="D101" i="8"/>
  <c r="I98" i="8"/>
  <c r="K98" i="8" s="1"/>
  <c r="P122" i="8"/>
  <c r="Q122" i="8" s="1"/>
  <c r="O123" i="8"/>
  <c r="P123" i="8" s="1"/>
  <c r="Q123" i="8" s="1"/>
  <c r="C27" i="8"/>
  <c r="H26" i="8" s="1"/>
  <c r="J26" i="8" s="1"/>
  <c r="J27" i="8" s="1"/>
  <c r="J28" i="8" s="1"/>
  <c r="D12" i="12"/>
  <c r="D73" i="7"/>
  <c r="J73" i="7" s="1"/>
  <c r="G72" i="7"/>
  <c r="D76" i="7"/>
  <c r="G76" i="7" s="1"/>
  <c r="U26" i="8"/>
  <c r="K27" i="8"/>
  <c r="D17" i="8"/>
  <c r="D20" i="8" s="1"/>
  <c r="W16" i="12"/>
  <c r="G67" i="7"/>
  <c r="X7" i="12"/>
  <c r="Y7" i="12"/>
  <c r="Z8" i="12" s="1"/>
  <c r="AE5" i="8"/>
  <c r="AF5" i="8"/>
  <c r="AG6" i="8" s="1"/>
  <c r="I73" i="7"/>
  <c r="F76" i="7"/>
  <c r="J110" i="8"/>
  <c r="J111" i="8" s="1"/>
  <c r="J112" i="8" s="1"/>
  <c r="J86" i="8"/>
  <c r="J87" i="8" s="1"/>
  <c r="J88" i="8" s="1"/>
  <c r="H89" i="8"/>
  <c r="D92" i="8"/>
  <c r="V69" i="7"/>
  <c r="T70" i="7"/>
  <c r="S70" i="7"/>
  <c r="U69" i="7"/>
  <c r="H98" i="8"/>
  <c r="O100" i="8"/>
  <c r="V63" i="7"/>
  <c r="T74" i="7"/>
  <c r="V74" i="7" s="1"/>
  <c r="F73" i="7"/>
  <c r="C29" i="8"/>
  <c r="C13" i="12"/>
  <c r="C74" i="7"/>
  <c r="S74" i="7"/>
  <c r="U74" i="7" s="1"/>
  <c r="U63" i="7"/>
  <c r="H113" i="8"/>
  <c r="D23" i="8" l="1"/>
  <c r="I23" i="8" s="1"/>
  <c r="K23" i="8" s="1"/>
  <c r="I20" i="8"/>
  <c r="K20" i="8" s="1"/>
  <c r="D23" i="9"/>
  <c r="D6" i="12" s="1"/>
  <c r="D74" i="8"/>
  <c r="I77" i="8"/>
  <c r="O79" i="8"/>
  <c r="AE9" i="8"/>
  <c r="AF9" i="8"/>
  <c r="D24" i="9"/>
  <c r="U27" i="8"/>
  <c r="K28" i="8"/>
  <c r="U28" i="8" s="1"/>
  <c r="U107" i="8"/>
  <c r="K108" i="8"/>
  <c r="U105" i="8"/>
  <c r="K106" i="8"/>
  <c r="U106" i="8" s="1"/>
  <c r="D113" i="8"/>
  <c r="D114" i="8" s="1"/>
  <c r="I113" i="8" s="1"/>
  <c r="K113" i="8" s="1"/>
  <c r="K114" i="8" s="1"/>
  <c r="I110" i="8"/>
  <c r="K110" i="8" s="1"/>
  <c r="O112" i="8"/>
  <c r="X14" i="12"/>
  <c r="Y14" i="12"/>
  <c r="L72" i="7"/>
  <c r="O28" i="8"/>
  <c r="AA8" i="12"/>
  <c r="D7" i="12" s="1"/>
  <c r="C7" i="12"/>
  <c r="AB8" i="12"/>
  <c r="K99" i="8"/>
  <c r="U98" i="8"/>
  <c r="I80" i="8"/>
  <c r="K80" i="8" s="1"/>
  <c r="C80" i="8"/>
  <c r="D84" i="8"/>
  <c r="P106" i="8"/>
  <c r="Q106" i="8" s="1"/>
  <c r="T94" i="7"/>
  <c r="D28" i="6"/>
  <c r="O107" i="8"/>
  <c r="T95" i="7"/>
  <c r="D74" i="7"/>
  <c r="D13" i="12"/>
  <c r="D29" i="8"/>
  <c r="G73" i="7"/>
  <c r="J74" i="7"/>
  <c r="K73" i="7"/>
  <c r="I101" i="8"/>
  <c r="K101" i="8" s="1"/>
  <c r="C102" i="8"/>
  <c r="O109" i="8"/>
  <c r="H107" i="8"/>
  <c r="AG7" i="8"/>
  <c r="AA12" i="8" s="1"/>
  <c r="AG18" i="8"/>
  <c r="O115" i="8"/>
  <c r="O116" i="8" s="1"/>
  <c r="T73" i="7"/>
  <c r="V73" i="7" s="1"/>
  <c r="V70" i="7"/>
  <c r="O29" i="8"/>
  <c r="P28" i="8"/>
  <c r="Q28" i="8" s="1"/>
  <c r="C122" i="8"/>
  <c r="AH6" i="8"/>
  <c r="D122" i="8" s="1"/>
  <c r="AH7" i="8"/>
  <c r="AB12" i="8" s="1"/>
  <c r="M72" i="7"/>
  <c r="Q87" i="7"/>
  <c r="Q85" i="7"/>
  <c r="Q86" i="7" s="1"/>
  <c r="D95" i="8"/>
  <c r="I92" i="8"/>
  <c r="K92" i="8" s="1"/>
  <c r="O94" i="8"/>
  <c r="C62" i="7"/>
  <c r="AH18" i="8"/>
  <c r="D62" i="7" s="1"/>
  <c r="L73" i="7"/>
  <c r="M73" i="7" s="1"/>
  <c r="T17" i="12"/>
  <c r="F74" i="7"/>
  <c r="C75" i="7"/>
  <c r="I75" i="7" s="1"/>
  <c r="X14" i="9"/>
  <c r="I74" i="7"/>
  <c r="K74" i="7" s="1"/>
  <c r="S73" i="7"/>
  <c r="U73" i="7" s="1"/>
  <c r="U70" i="7"/>
  <c r="J89" i="8"/>
  <c r="J90" i="8" s="1"/>
  <c r="J91" i="8" s="1"/>
  <c r="U113" i="8"/>
  <c r="O101" i="8"/>
  <c r="P100" i="8"/>
  <c r="Q100" i="8" s="1"/>
  <c r="M115" i="8"/>
  <c r="M116" i="8" s="1"/>
  <c r="M117" i="8" s="1"/>
  <c r="J113" i="8"/>
  <c r="J114" i="8" s="1"/>
  <c r="J115" i="8" s="1"/>
  <c r="M118" i="8"/>
  <c r="M119" i="8" s="1"/>
  <c r="M120" i="8" s="1"/>
  <c r="C32" i="8"/>
  <c r="C30" i="8"/>
  <c r="O31" i="8" s="1"/>
  <c r="J98" i="8"/>
  <c r="J99" i="8" s="1"/>
  <c r="J100" i="8" s="1"/>
  <c r="D32" i="8" l="1"/>
  <c r="I29" i="8"/>
  <c r="K29" i="8" s="1"/>
  <c r="D87" i="8"/>
  <c r="I83" i="8"/>
  <c r="K83" i="8" s="1"/>
  <c r="O80" i="8"/>
  <c r="P79" i="8"/>
  <c r="Q79" i="8" s="1"/>
  <c r="J107" i="8"/>
  <c r="J108" i="8" s="1"/>
  <c r="J109" i="8" s="1"/>
  <c r="M109" i="8"/>
  <c r="M110" i="8" s="1"/>
  <c r="M111" i="8" s="1"/>
  <c r="M112" i="8"/>
  <c r="M113" i="8" s="1"/>
  <c r="M114" i="8" s="1"/>
  <c r="O82" i="8"/>
  <c r="H80" i="8"/>
  <c r="C83" i="8"/>
  <c r="U108" i="8"/>
  <c r="K109" i="8"/>
  <c r="U109" i="8" s="1"/>
  <c r="K77" i="8"/>
  <c r="O110" i="8"/>
  <c r="P109" i="8"/>
  <c r="Q109" i="8" s="1"/>
  <c r="Y14" i="9"/>
  <c r="D75" i="7"/>
  <c r="D41" i="8"/>
  <c r="D44" i="8" s="1"/>
  <c r="D47" i="8" s="1"/>
  <c r="U17" i="12"/>
  <c r="G74" i="7"/>
  <c r="U80" i="8"/>
  <c r="K81" i="8"/>
  <c r="I74" i="8"/>
  <c r="K74" i="8" s="1"/>
  <c r="O76" i="8"/>
  <c r="O103" i="8"/>
  <c r="H101" i="8"/>
  <c r="U101" i="8"/>
  <c r="K102" i="8"/>
  <c r="P107" i="8"/>
  <c r="Q107" i="8" s="1"/>
  <c r="O108" i="8"/>
  <c r="P108" i="8" s="1"/>
  <c r="Q108" i="8" s="1"/>
  <c r="K100" i="8"/>
  <c r="U100" i="8" s="1"/>
  <c r="U99" i="8"/>
  <c r="O113" i="8"/>
  <c r="P112" i="8"/>
  <c r="Q112" i="8" s="1"/>
  <c r="K21" i="8"/>
  <c r="U20" i="8"/>
  <c r="U110" i="8"/>
  <c r="K111" i="8"/>
  <c r="U23" i="8"/>
  <c r="K24" i="8"/>
  <c r="P115" i="8"/>
  <c r="Q115" i="8" s="1"/>
  <c r="AI6" i="8"/>
  <c r="AE12" i="8"/>
  <c r="AI7" i="8"/>
  <c r="K115" i="8"/>
  <c r="U115" i="8" s="1"/>
  <c r="U114" i="8"/>
  <c r="C20" i="12"/>
  <c r="C25" i="12" s="1"/>
  <c r="L74" i="7"/>
  <c r="M74" i="7" s="1"/>
  <c r="Q88" i="7" s="1"/>
  <c r="Q89" i="7" s="1"/>
  <c r="I76" i="7"/>
  <c r="V17" i="12"/>
  <c r="F75" i="7"/>
  <c r="L75" i="7"/>
  <c r="M75" i="7" s="1"/>
  <c r="D61" i="7"/>
  <c r="D68" i="8"/>
  <c r="D66" i="7"/>
  <c r="J63" i="7"/>
  <c r="G62" i="7"/>
  <c r="W13" i="12"/>
  <c r="H122" i="8"/>
  <c r="L62" i="7"/>
  <c r="M62" i="7" s="1"/>
  <c r="C61" i="7"/>
  <c r="L61" i="7" s="1"/>
  <c r="M61" i="7" s="1"/>
  <c r="V13" i="12"/>
  <c r="F62" i="7"/>
  <c r="I63" i="7"/>
  <c r="K63" i="7" s="1"/>
  <c r="C66" i="7"/>
  <c r="C68" i="8"/>
  <c r="P94" i="8"/>
  <c r="Q94" i="8" s="1"/>
  <c r="O95" i="8"/>
  <c r="U92" i="8"/>
  <c r="K93" i="8"/>
  <c r="O30" i="8"/>
  <c r="P30" i="8" s="1"/>
  <c r="Q30" i="8" s="1"/>
  <c r="P29" i="8"/>
  <c r="Q29" i="8" s="1"/>
  <c r="P31" i="8"/>
  <c r="Q31" i="8" s="1"/>
  <c r="O32" i="8"/>
  <c r="I95" i="8"/>
  <c r="O97" i="8"/>
  <c r="AF12" i="8"/>
  <c r="AD16" i="8" s="1"/>
  <c r="H29" i="8"/>
  <c r="C33" i="8"/>
  <c r="H32" i="8" s="1"/>
  <c r="C35" i="8"/>
  <c r="O102" i="8"/>
  <c r="P102" i="8" s="1"/>
  <c r="Q102" i="8" s="1"/>
  <c r="P101" i="8"/>
  <c r="Q101" i="8" s="1"/>
  <c r="Z14" i="9"/>
  <c r="AA14" i="9"/>
  <c r="D123" i="8"/>
  <c r="O124" i="8" s="1"/>
  <c r="P116" i="8"/>
  <c r="Q116" i="8" s="1"/>
  <c r="O117" i="8"/>
  <c r="P117" i="8" s="1"/>
  <c r="Q117" i="8" s="1"/>
  <c r="K22" i="8" l="1"/>
  <c r="U22" i="8" s="1"/>
  <c r="U21" i="8"/>
  <c r="M79" i="8"/>
  <c r="M80" i="8" s="1"/>
  <c r="M81" i="8" s="1"/>
  <c r="J101" i="8"/>
  <c r="J102" i="8" s="1"/>
  <c r="J103" i="8" s="1"/>
  <c r="M103" i="8"/>
  <c r="M104" i="8" s="1"/>
  <c r="M105" i="8" s="1"/>
  <c r="M106" i="8"/>
  <c r="M107" i="8" s="1"/>
  <c r="M108" i="8" s="1"/>
  <c r="U77" i="8"/>
  <c r="K78" i="8"/>
  <c r="O114" i="8"/>
  <c r="P114" i="8" s="1"/>
  <c r="Q114" i="8" s="1"/>
  <c r="P113" i="8"/>
  <c r="Q113" i="8" s="1"/>
  <c r="O104" i="8"/>
  <c r="P103" i="8"/>
  <c r="Q103" i="8" s="1"/>
  <c r="I47" i="8"/>
  <c r="K47" i="8" s="1"/>
  <c r="D50" i="8"/>
  <c r="I50" i="8" s="1"/>
  <c r="K50" i="8" s="1"/>
  <c r="U24" i="8"/>
  <c r="K25" i="8"/>
  <c r="U25" i="8" s="1"/>
  <c r="O77" i="8"/>
  <c r="P76" i="8"/>
  <c r="Q76" i="8" s="1"/>
  <c r="J75" i="7"/>
  <c r="K75" i="7" s="1"/>
  <c r="W17" i="12"/>
  <c r="X17" i="12" s="1"/>
  <c r="J76" i="7"/>
  <c r="G75" i="7"/>
  <c r="P80" i="8"/>
  <c r="Q80" i="8" s="1"/>
  <c r="O81" i="8"/>
  <c r="P81" i="8" s="1"/>
  <c r="Q81" i="8" s="1"/>
  <c r="K75" i="8"/>
  <c r="U74" i="8"/>
  <c r="O85" i="8"/>
  <c r="H83" i="8"/>
  <c r="K84" i="8"/>
  <c r="U83" i="8"/>
  <c r="K76" i="7"/>
  <c r="K112" i="8"/>
  <c r="U112" i="8" s="1"/>
  <c r="U111" i="8"/>
  <c r="K82" i="8"/>
  <c r="U82" i="8" s="1"/>
  <c r="U81" i="8"/>
  <c r="J80" i="8"/>
  <c r="J81" i="8" s="1"/>
  <c r="J82" i="8" s="1"/>
  <c r="M82" i="8"/>
  <c r="M83" i="8" s="1"/>
  <c r="M84" i="8" s="1"/>
  <c r="D90" i="8"/>
  <c r="D89" i="8"/>
  <c r="P110" i="8"/>
  <c r="Q110" i="8" s="1"/>
  <c r="O111" i="8"/>
  <c r="P111" i="8" s="1"/>
  <c r="Q111" i="8" s="1"/>
  <c r="P82" i="8"/>
  <c r="Q82" i="8" s="1"/>
  <c r="O83" i="8"/>
  <c r="K30" i="8"/>
  <c r="U29" i="8"/>
  <c r="K103" i="8"/>
  <c r="U103" i="8" s="1"/>
  <c r="U102" i="8"/>
  <c r="D20" i="12"/>
  <c r="D25" i="12" s="1"/>
  <c r="D36" i="8"/>
  <c r="D35" i="8"/>
  <c r="I32" i="8"/>
  <c r="K32" i="8" s="1"/>
  <c r="I122" i="8"/>
  <c r="K122" i="8" s="1"/>
  <c r="O34" i="8"/>
  <c r="P34" i="8" s="1"/>
  <c r="Q34" i="8" s="1"/>
  <c r="O125" i="8"/>
  <c r="P124" i="8"/>
  <c r="Q124" i="8" s="1"/>
  <c r="D29" i="6"/>
  <c r="K95" i="8"/>
  <c r="M97" i="8"/>
  <c r="M98" i="8" s="1"/>
  <c r="M99" i="8" s="1"/>
  <c r="M100" i="8"/>
  <c r="M101" i="8" s="1"/>
  <c r="M102" i="8" s="1"/>
  <c r="C71" i="8"/>
  <c r="H68" i="8"/>
  <c r="J68" i="8" s="1"/>
  <c r="J69" i="8" s="1"/>
  <c r="J70" i="8" s="1"/>
  <c r="C65" i="8"/>
  <c r="O70" i="8"/>
  <c r="M127" i="8"/>
  <c r="M128" i="8" s="1"/>
  <c r="M129" i="8" s="1"/>
  <c r="J122" i="8"/>
  <c r="J123" i="8" s="1"/>
  <c r="J124" i="8" s="1"/>
  <c r="M124" i="8"/>
  <c r="M125" i="8" s="1"/>
  <c r="M126" i="8" s="1"/>
  <c r="P97" i="8"/>
  <c r="Q97" i="8" s="1"/>
  <c r="O98" i="8"/>
  <c r="F66" i="7"/>
  <c r="C59" i="8"/>
  <c r="I67" i="7"/>
  <c r="C70" i="7"/>
  <c r="C62" i="8"/>
  <c r="L66" i="7"/>
  <c r="M66" i="7" s="1"/>
  <c r="D23" i="12"/>
  <c r="Y13" i="12"/>
  <c r="X13" i="12"/>
  <c r="U16" i="12"/>
  <c r="AB14" i="9"/>
  <c r="AB15" i="9"/>
  <c r="K94" i="8"/>
  <c r="U94" i="8" s="1"/>
  <c r="U93" i="8"/>
  <c r="H35" i="8"/>
  <c r="C38" i="8"/>
  <c r="O37" i="8"/>
  <c r="P32" i="8"/>
  <c r="Q32" i="8" s="1"/>
  <c r="O33" i="8"/>
  <c r="P33" i="8" s="1"/>
  <c r="Q33" i="8" s="1"/>
  <c r="U122" i="8"/>
  <c r="K123" i="8"/>
  <c r="C23" i="12"/>
  <c r="T16" i="12"/>
  <c r="Y16" i="12" s="1"/>
  <c r="J67" i="7"/>
  <c r="D70" i="7"/>
  <c r="G70" i="7" s="1"/>
  <c r="D59" i="8"/>
  <c r="I59" i="8" s="1"/>
  <c r="K59" i="8" s="1"/>
  <c r="G66" i="7"/>
  <c r="D62" i="8"/>
  <c r="I62" i="8" s="1"/>
  <c r="K62" i="8" s="1"/>
  <c r="M31" i="8"/>
  <c r="M32" i="8" s="1"/>
  <c r="M33" i="8" s="1"/>
  <c r="J29" i="8"/>
  <c r="J30" i="8" s="1"/>
  <c r="J31" i="8" s="1"/>
  <c r="O96" i="8"/>
  <c r="P96" i="8" s="1"/>
  <c r="Q96" i="8" s="1"/>
  <c r="P95" i="8"/>
  <c r="Q95" i="8" s="1"/>
  <c r="F61" i="7"/>
  <c r="I61" i="7"/>
  <c r="C9" i="8"/>
  <c r="AA20" i="8" s="1"/>
  <c r="X6" i="9"/>
  <c r="L60" i="7"/>
  <c r="M60" i="7" s="1"/>
  <c r="I62" i="7"/>
  <c r="C12" i="8"/>
  <c r="AC10" i="8"/>
  <c r="D71" i="8"/>
  <c r="I71" i="8" s="1"/>
  <c r="K71" i="8" s="1"/>
  <c r="D65" i="8"/>
  <c r="I65" i="8" s="1"/>
  <c r="K65" i="8" s="1"/>
  <c r="I68" i="8"/>
  <c r="K68" i="8" s="1"/>
  <c r="J32" i="8"/>
  <c r="J33" i="8" s="1"/>
  <c r="J34" i="8" s="1"/>
  <c r="C53" i="8"/>
  <c r="Q90" i="7"/>
  <c r="D53" i="8" s="1"/>
  <c r="G61" i="7"/>
  <c r="J61" i="7"/>
  <c r="Y6" i="9"/>
  <c r="D12" i="8"/>
  <c r="J62" i="7"/>
  <c r="D9" i="8"/>
  <c r="AB20" i="8" s="1"/>
  <c r="AD10" i="8"/>
  <c r="K79" i="8" l="1"/>
  <c r="U79" i="8" s="1"/>
  <c r="U78" i="8"/>
  <c r="O35" i="8"/>
  <c r="Y17" i="12"/>
  <c r="K85" i="8"/>
  <c r="U85" i="8" s="1"/>
  <c r="U84" i="8"/>
  <c r="K51" i="8"/>
  <c r="U50" i="8"/>
  <c r="I89" i="8"/>
  <c r="O91" i="8"/>
  <c r="D86" i="8"/>
  <c r="K31" i="8"/>
  <c r="U31" i="8" s="1"/>
  <c r="U30" i="8"/>
  <c r="J83" i="8"/>
  <c r="J84" i="8" s="1"/>
  <c r="J85" i="8" s="1"/>
  <c r="M85" i="8"/>
  <c r="M86" i="8" s="1"/>
  <c r="M87" i="8" s="1"/>
  <c r="U47" i="8"/>
  <c r="K48" i="8"/>
  <c r="P83" i="8"/>
  <c r="Q83" i="8" s="1"/>
  <c r="O84" i="8"/>
  <c r="P84" i="8" s="1"/>
  <c r="Q84" i="8" s="1"/>
  <c r="I35" i="8"/>
  <c r="K35" i="8" s="1"/>
  <c r="D38" i="8"/>
  <c r="O105" i="8"/>
  <c r="P105" i="8" s="1"/>
  <c r="Q105" i="8" s="1"/>
  <c r="P104" i="8"/>
  <c r="Q104" i="8" s="1"/>
  <c r="K33" i="8"/>
  <c r="U32" i="8"/>
  <c r="P85" i="8"/>
  <c r="Q85" i="8" s="1"/>
  <c r="O86" i="8"/>
  <c r="M34" i="8"/>
  <c r="M35" i="8" s="1"/>
  <c r="M36" i="8" s="1"/>
  <c r="K76" i="8"/>
  <c r="U76" i="8" s="1"/>
  <c r="U75" i="8"/>
  <c r="O78" i="8"/>
  <c r="P78" i="8" s="1"/>
  <c r="Q78" i="8" s="1"/>
  <c r="P77" i="8"/>
  <c r="Q77" i="8" s="1"/>
  <c r="Z14" i="12"/>
  <c r="C21" i="12" s="1"/>
  <c r="K61" i="7"/>
  <c r="F53" i="6" s="1"/>
  <c r="I53" i="6" s="1"/>
  <c r="O38" i="8"/>
  <c r="P37" i="8"/>
  <c r="Q37" i="8" s="1"/>
  <c r="P35" i="8"/>
  <c r="Q35" i="8" s="1"/>
  <c r="O36" i="8"/>
  <c r="P36" i="8" s="1"/>
  <c r="Q36" i="8" s="1"/>
  <c r="C41" i="8"/>
  <c r="H38" i="8"/>
  <c r="D42" i="8"/>
  <c r="D39" i="8"/>
  <c r="I38" i="8" s="1"/>
  <c r="K38" i="8" s="1"/>
  <c r="P98" i="8"/>
  <c r="Q98" i="8" s="1"/>
  <c r="O99" i="8"/>
  <c r="P99" i="8" s="1"/>
  <c r="Q99" i="8" s="1"/>
  <c r="H71" i="8"/>
  <c r="O73" i="8"/>
  <c r="K63" i="8"/>
  <c r="U62" i="8"/>
  <c r="J35" i="8"/>
  <c r="J36" i="8" s="1"/>
  <c r="J37" i="8" s="1"/>
  <c r="M37" i="8"/>
  <c r="M38" i="8" s="1"/>
  <c r="M39" i="8" s="1"/>
  <c r="U71" i="8"/>
  <c r="K72" i="8"/>
  <c r="U59" i="8"/>
  <c r="K60" i="8"/>
  <c r="K124" i="8"/>
  <c r="U124" i="8" s="1"/>
  <c r="U123" i="8"/>
  <c r="O64" i="8"/>
  <c r="H62" i="8"/>
  <c r="K96" i="8"/>
  <c r="U95" i="8"/>
  <c r="AC15" i="9"/>
  <c r="D12" i="9" s="1"/>
  <c r="C12" i="9"/>
  <c r="F70" i="7"/>
  <c r="K66" i="8"/>
  <c r="U65" i="8"/>
  <c r="H53" i="8"/>
  <c r="O55" i="8"/>
  <c r="C56" i="8"/>
  <c r="K62" i="7"/>
  <c r="C11" i="9"/>
  <c r="AC14" i="9"/>
  <c r="D11" i="9" s="1"/>
  <c r="K67" i="7"/>
  <c r="F54" i="6" s="1"/>
  <c r="I54" i="6" s="1"/>
  <c r="P70" i="8"/>
  <c r="Q70" i="8" s="1"/>
  <c r="O71" i="8"/>
  <c r="D56" i="8"/>
  <c r="I56" i="8" s="1"/>
  <c r="K56" i="8" s="1"/>
  <c r="I53" i="8"/>
  <c r="K53" i="8" s="1"/>
  <c r="AA6" i="9"/>
  <c r="Z6" i="9"/>
  <c r="AF10" i="8"/>
  <c r="AE10" i="8"/>
  <c r="U68" i="8"/>
  <c r="K69" i="8"/>
  <c r="X16" i="12"/>
  <c r="Z17" i="12" s="1"/>
  <c r="O61" i="8"/>
  <c r="H59" i="8"/>
  <c r="O67" i="8"/>
  <c r="H65" i="8"/>
  <c r="P125" i="8"/>
  <c r="Q125" i="8" s="1"/>
  <c r="O126" i="8"/>
  <c r="P126" i="8" s="1"/>
  <c r="Q126" i="8" s="1"/>
  <c r="U33" i="8" l="1"/>
  <c r="K34" i="8"/>
  <c r="U34" i="8" s="1"/>
  <c r="K52" i="8"/>
  <c r="U52" i="8" s="1"/>
  <c r="U51" i="8"/>
  <c r="U35" i="8"/>
  <c r="K36" i="8"/>
  <c r="O87" i="8"/>
  <c r="P87" i="8" s="1"/>
  <c r="Q87" i="8" s="1"/>
  <c r="P86" i="8"/>
  <c r="Q86" i="8" s="1"/>
  <c r="I86" i="8"/>
  <c r="O88" i="8"/>
  <c r="O92" i="8"/>
  <c r="P91" i="8"/>
  <c r="Q91" i="8" s="1"/>
  <c r="U48" i="8"/>
  <c r="K49" i="8"/>
  <c r="U49" i="8" s="1"/>
  <c r="K89" i="8"/>
  <c r="M94" i="8"/>
  <c r="M95" i="8" s="1"/>
  <c r="M96" i="8" s="1"/>
  <c r="M91" i="8"/>
  <c r="M92" i="8" s="1"/>
  <c r="M93" i="8" s="1"/>
  <c r="C22" i="12"/>
  <c r="D68" i="7"/>
  <c r="J68" i="7" s="1"/>
  <c r="AA14" i="12"/>
  <c r="AB14" i="12" s="1"/>
  <c r="C68" i="7"/>
  <c r="I68" i="7" s="1"/>
  <c r="AD15" i="9"/>
  <c r="AA17" i="12"/>
  <c r="D24" i="12" s="1"/>
  <c r="C24" i="12"/>
  <c r="K54" i="8"/>
  <c r="U53" i="8"/>
  <c r="V4" i="12"/>
  <c r="T10" i="12"/>
  <c r="K97" i="8"/>
  <c r="U97" i="8" s="1"/>
  <c r="U96" i="8"/>
  <c r="J38" i="8"/>
  <c r="J39" i="8" s="1"/>
  <c r="J40" i="8" s="1"/>
  <c r="M40" i="8"/>
  <c r="M41" i="8" s="1"/>
  <c r="M42" i="8" s="1"/>
  <c r="K67" i="8"/>
  <c r="U67" i="8" s="1"/>
  <c r="U66" i="8"/>
  <c r="M64" i="8"/>
  <c r="M65" i="8" s="1"/>
  <c r="M66" i="8" s="1"/>
  <c r="J62" i="8"/>
  <c r="J63" i="8" s="1"/>
  <c r="J64" i="8" s="1"/>
  <c r="H41" i="8"/>
  <c r="C44" i="8"/>
  <c r="O43" i="8"/>
  <c r="K70" i="8"/>
  <c r="U70" i="8" s="1"/>
  <c r="U69" i="8"/>
  <c r="M70" i="8"/>
  <c r="M71" i="8" s="1"/>
  <c r="M72" i="8" s="1"/>
  <c r="J65" i="8"/>
  <c r="J66" i="8" s="1"/>
  <c r="J67" i="8" s="1"/>
  <c r="M67" i="8"/>
  <c r="M68" i="8" s="1"/>
  <c r="M69" i="8" s="1"/>
  <c r="O65" i="8"/>
  <c r="P64" i="8"/>
  <c r="Q64" i="8" s="1"/>
  <c r="K57" i="8"/>
  <c r="U56" i="8"/>
  <c r="O68" i="8"/>
  <c r="P67" i="8"/>
  <c r="Q67" i="8" s="1"/>
  <c r="AG10" i="8"/>
  <c r="J59" i="8"/>
  <c r="J60" i="8" s="1"/>
  <c r="J61" i="8" s="1"/>
  <c r="Y10" i="9"/>
  <c r="G68" i="7"/>
  <c r="D69" i="7"/>
  <c r="D14" i="8" s="1"/>
  <c r="AB22" i="8" s="1"/>
  <c r="V10" i="12"/>
  <c r="T4" i="12"/>
  <c r="K64" i="8"/>
  <c r="U64" i="8" s="1"/>
  <c r="U63" i="8"/>
  <c r="P71" i="8"/>
  <c r="Q71" i="8" s="1"/>
  <c r="O72" i="8"/>
  <c r="P72" i="8" s="1"/>
  <c r="Q72" i="8" s="1"/>
  <c r="H56" i="8"/>
  <c r="O58" i="8"/>
  <c r="K61" i="8"/>
  <c r="U61" i="8" s="1"/>
  <c r="U60" i="8"/>
  <c r="P73" i="8"/>
  <c r="Q73" i="8" s="1"/>
  <c r="O74" i="8"/>
  <c r="U38" i="8"/>
  <c r="K39" i="8"/>
  <c r="O39" i="8"/>
  <c r="P39" i="8" s="1"/>
  <c r="Q39" i="8" s="1"/>
  <c r="P38" i="8"/>
  <c r="Q38" i="8" s="1"/>
  <c r="W4" i="12"/>
  <c r="U10" i="12"/>
  <c r="P55" i="8"/>
  <c r="Q55" i="8" s="1"/>
  <c r="O56" i="8"/>
  <c r="W10" i="12"/>
  <c r="U4" i="12"/>
  <c r="M73" i="8"/>
  <c r="M74" i="8" s="1"/>
  <c r="M75" i="8" s="1"/>
  <c r="J71" i="8"/>
  <c r="J72" i="8" s="1"/>
  <c r="J73" i="8" s="1"/>
  <c r="M76" i="8"/>
  <c r="M77" i="8" s="1"/>
  <c r="M78" i="8" s="1"/>
  <c r="D45" i="8"/>
  <c r="I44" i="8" s="1"/>
  <c r="K44" i="8" s="1"/>
  <c r="I41" i="8"/>
  <c r="K41" i="8" s="1"/>
  <c r="C7" i="11"/>
  <c r="P61" i="8"/>
  <c r="Q61" i="8" s="1"/>
  <c r="O62" i="8"/>
  <c r="AB7" i="9"/>
  <c r="AB6" i="9"/>
  <c r="AD14" i="9"/>
  <c r="J53" i="8"/>
  <c r="J54" i="8" s="1"/>
  <c r="J55" i="8" s="1"/>
  <c r="K73" i="8"/>
  <c r="U73" i="8" s="1"/>
  <c r="U72" i="8"/>
  <c r="O40" i="8"/>
  <c r="I58" i="6"/>
  <c r="D40" i="6" s="1"/>
  <c r="F40" i="6" s="1"/>
  <c r="U36" i="8" l="1"/>
  <c r="K37" i="8"/>
  <c r="U37" i="8" s="1"/>
  <c r="P92" i="8"/>
  <c r="Q92" i="8" s="1"/>
  <c r="O93" i="8"/>
  <c r="P93" i="8" s="1"/>
  <c r="Q93" i="8" s="1"/>
  <c r="O89" i="8"/>
  <c r="P88" i="8"/>
  <c r="Q88" i="8" s="1"/>
  <c r="K90" i="8"/>
  <c r="U89" i="8"/>
  <c r="F68" i="7"/>
  <c r="K86" i="8"/>
  <c r="M88" i="8"/>
  <c r="M89" i="8" s="1"/>
  <c r="M90" i="8" s="1"/>
  <c r="X10" i="9"/>
  <c r="D22" i="12"/>
  <c r="C69" i="7"/>
  <c r="C14" i="8" s="1"/>
  <c r="L67" i="7"/>
  <c r="M67" i="7" s="1"/>
  <c r="D23" i="6"/>
  <c r="AI14" i="8" s="1"/>
  <c r="AG14" i="8" s="1"/>
  <c r="AA16" i="8" s="1"/>
  <c r="D21" i="12"/>
  <c r="C17" i="8"/>
  <c r="C20" i="8" s="1"/>
  <c r="C23" i="8" s="1"/>
  <c r="AB17" i="12"/>
  <c r="AC7" i="9"/>
  <c r="D3" i="9" s="1"/>
  <c r="C3" i="9"/>
  <c r="Y4" i="12"/>
  <c r="X4" i="12"/>
  <c r="AH10" i="8"/>
  <c r="D2" i="8" s="1"/>
  <c r="C2" i="8"/>
  <c r="P65" i="8"/>
  <c r="Q65" i="8" s="1"/>
  <c r="O66" i="8"/>
  <c r="P66" i="8" s="1"/>
  <c r="Q66" i="8" s="1"/>
  <c r="J41" i="8"/>
  <c r="J42" i="8" s="1"/>
  <c r="J43" i="8" s="1"/>
  <c r="M43" i="8"/>
  <c r="M44" i="8" s="1"/>
  <c r="M45" i="8" s="1"/>
  <c r="P62" i="8"/>
  <c r="Q62" i="8" s="1"/>
  <c r="O63" i="8"/>
  <c r="P63" i="8" s="1"/>
  <c r="Q63" i="8" s="1"/>
  <c r="M58" i="8"/>
  <c r="M59" i="8" s="1"/>
  <c r="M60" i="8" s="1"/>
  <c r="J56" i="8"/>
  <c r="J57" i="8" s="1"/>
  <c r="J58" i="8" s="1"/>
  <c r="O69" i="8"/>
  <c r="P69" i="8" s="1"/>
  <c r="Q69" i="8" s="1"/>
  <c r="P68" i="8"/>
  <c r="Q68" i="8" s="1"/>
  <c r="K68" i="7"/>
  <c r="U39" i="8"/>
  <c r="K40" i="8"/>
  <c r="U40" i="8" s="1"/>
  <c r="J69" i="7"/>
  <c r="W10" i="9"/>
  <c r="G69" i="7"/>
  <c r="J70" i="7"/>
  <c r="O41" i="8"/>
  <c r="P40" i="8"/>
  <c r="Q40" i="8" s="1"/>
  <c r="Y10" i="12"/>
  <c r="X10" i="12"/>
  <c r="U57" i="8"/>
  <c r="K58" i="8"/>
  <c r="U58" i="8" s="1"/>
  <c r="U54" i="8"/>
  <c r="K55" i="8"/>
  <c r="U55" i="8" s="1"/>
  <c r="P56" i="8"/>
  <c r="Q56" i="8" s="1"/>
  <c r="O57" i="8"/>
  <c r="P57" i="8" s="1"/>
  <c r="Q57" i="8" s="1"/>
  <c r="O75" i="8"/>
  <c r="P75" i="8" s="1"/>
  <c r="Q75" i="8" s="1"/>
  <c r="P74" i="8"/>
  <c r="Q74" i="8" s="1"/>
  <c r="AA22" i="8"/>
  <c r="U41" i="8"/>
  <c r="K42" i="8"/>
  <c r="M61" i="8"/>
  <c r="M62" i="8" s="1"/>
  <c r="M63" i="8" s="1"/>
  <c r="O44" i="8"/>
  <c r="P43" i="8"/>
  <c r="Q43" i="8" s="1"/>
  <c r="I70" i="7"/>
  <c r="L68" i="7"/>
  <c r="M68" i="7" s="1"/>
  <c r="V10" i="9"/>
  <c r="F69" i="7"/>
  <c r="L69" i="7"/>
  <c r="M69" i="7" s="1"/>
  <c r="O59" i="8"/>
  <c r="P58" i="8"/>
  <c r="Q58" i="8" s="1"/>
  <c r="C2" i="9"/>
  <c r="AC6" i="9"/>
  <c r="D2" i="9" s="1"/>
  <c r="U44" i="8"/>
  <c r="K45" i="8"/>
  <c r="C47" i="8"/>
  <c r="C48" i="8"/>
  <c r="H44" i="8"/>
  <c r="O46" i="8"/>
  <c r="U90" i="8" l="1"/>
  <c r="K91" i="8"/>
  <c r="U91" i="8" s="1"/>
  <c r="O90" i="8"/>
  <c r="P90" i="8" s="1"/>
  <c r="Q90" i="8" s="1"/>
  <c r="P89" i="8"/>
  <c r="Q89" i="8" s="1"/>
  <c r="U86" i="8"/>
  <c r="K87" i="8"/>
  <c r="I69" i="7"/>
  <c r="AH14" i="8"/>
  <c r="Z10" i="9"/>
  <c r="AA10" i="9"/>
  <c r="AB10" i="9" s="1"/>
  <c r="K69" i="7"/>
  <c r="AD7" i="9"/>
  <c r="AD6" i="9"/>
  <c r="K70" i="7"/>
  <c r="O47" i="8"/>
  <c r="P46" i="8"/>
  <c r="Q46" i="8" s="1"/>
  <c r="C5" i="8"/>
  <c r="O4" i="8"/>
  <c r="O5" i="8" s="1"/>
  <c r="H2" i="8"/>
  <c r="O45" i="8"/>
  <c r="P45" i="8" s="1"/>
  <c r="Q45" i="8" s="1"/>
  <c r="P44" i="8"/>
  <c r="Q44" i="8" s="1"/>
  <c r="AB26" i="8"/>
  <c r="C11" i="8"/>
  <c r="H11" i="8" s="1"/>
  <c r="AB16" i="8"/>
  <c r="I2" i="8"/>
  <c r="D5" i="8"/>
  <c r="J44" i="8"/>
  <c r="J45" i="8" s="1"/>
  <c r="J46" i="8" s="1"/>
  <c r="M46" i="8"/>
  <c r="M47" i="8" s="1"/>
  <c r="M48" i="8" s="1"/>
  <c r="Z11" i="12"/>
  <c r="Z5" i="12"/>
  <c r="H47" i="8"/>
  <c r="C50" i="8"/>
  <c r="O49" i="8"/>
  <c r="U45" i="8"/>
  <c r="K46" i="8"/>
  <c r="U46" i="8" s="1"/>
  <c r="O42" i="8"/>
  <c r="P42" i="8" s="1"/>
  <c r="Q42" i="8" s="1"/>
  <c r="P41" i="8"/>
  <c r="Q41" i="8" s="1"/>
  <c r="U42" i="8"/>
  <c r="K43" i="8"/>
  <c r="U43" i="8" s="1"/>
  <c r="P59" i="8"/>
  <c r="Q59" i="8" s="1"/>
  <c r="O60" i="8"/>
  <c r="P60" i="8" s="1"/>
  <c r="Q60" i="8" s="1"/>
  <c r="C24" i="8"/>
  <c r="C21" i="8" s="1"/>
  <c r="K88" i="8" l="1"/>
  <c r="U88" i="8" s="1"/>
  <c r="U87" i="8"/>
  <c r="AB11" i="9"/>
  <c r="AC11" i="9" s="1"/>
  <c r="D6" i="9" s="1"/>
  <c r="O25" i="8"/>
  <c r="P25" i="8" s="1"/>
  <c r="Q25" i="8" s="1"/>
  <c r="M4" i="8"/>
  <c r="M5" i="8" s="1"/>
  <c r="M6" i="8" s="1"/>
  <c r="H23" i="8"/>
  <c r="M28" i="8" s="1"/>
  <c r="O6" i="8"/>
  <c r="P6" i="8" s="1"/>
  <c r="Q6" i="8" s="1"/>
  <c r="P5" i="8"/>
  <c r="Q5" i="8" s="1"/>
  <c r="C6" i="9"/>
  <c r="H20" i="8"/>
  <c r="O22" i="8"/>
  <c r="H5" i="8"/>
  <c r="O7" i="8"/>
  <c r="J47" i="8"/>
  <c r="J48" i="8" s="1"/>
  <c r="J49" i="8" s="1"/>
  <c r="M49" i="8"/>
  <c r="M50" i="8" s="1"/>
  <c r="M51" i="8" s="1"/>
  <c r="J11" i="8"/>
  <c r="J12" i="8" s="1"/>
  <c r="J13" i="8" s="1"/>
  <c r="AC10" i="9"/>
  <c r="D5" i="9" s="1"/>
  <c r="C5" i="9"/>
  <c r="O50" i="8"/>
  <c r="P49" i="8"/>
  <c r="Q49" i="8" s="1"/>
  <c r="C51" i="8"/>
  <c r="H50" i="8" s="1"/>
  <c r="C2" i="12"/>
  <c r="C9" i="12" s="1"/>
  <c r="AA5" i="12"/>
  <c r="D2" i="12" s="1"/>
  <c r="D9" i="12" s="1"/>
  <c r="C8" i="8"/>
  <c r="C15" i="8"/>
  <c r="P89" i="7"/>
  <c r="I5" i="8"/>
  <c r="K5" i="8" s="1"/>
  <c r="P90" i="7"/>
  <c r="AC26" i="8"/>
  <c r="D11" i="8"/>
  <c r="C14" i="12"/>
  <c r="AA11" i="12"/>
  <c r="D14" i="12" s="1"/>
  <c r="O48" i="8"/>
  <c r="P48" i="8" s="1"/>
  <c r="Q48" i="8" s="1"/>
  <c r="P47" i="8"/>
  <c r="Q47" i="8" s="1"/>
  <c r="O26" i="8" l="1"/>
  <c r="P26" i="8" s="1"/>
  <c r="Q26" i="8" s="1"/>
  <c r="M25" i="8"/>
  <c r="M26" i="8" s="1"/>
  <c r="M27" i="8" s="1"/>
  <c r="AD10" i="9"/>
  <c r="J23" i="8"/>
  <c r="J24" i="8" s="1"/>
  <c r="J25" i="8" s="1"/>
  <c r="AB11" i="12"/>
  <c r="AB5" i="12"/>
  <c r="M52" i="8"/>
  <c r="M53" i="8" s="1"/>
  <c r="M54" i="8" s="1"/>
  <c r="J50" i="8"/>
  <c r="J51" i="8" s="1"/>
  <c r="J52" i="8" s="1"/>
  <c r="M55" i="8"/>
  <c r="M56" i="8" s="1"/>
  <c r="M57" i="8" s="1"/>
  <c r="D26" i="6"/>
  <c r="O8" i="8"/>
  <c r="T93" i="7"/>
  <c r="P7" i="8"/>
  <c r="Q7" i="8" s="1"/>
  <c r="W28" i="8"/>
  <c r="W31" i="8" s="1"/>
  <c r="W34" i="8" s="1"/>
  <c r="W37" i="8" s="1"/>
  <c r="W40" i="8" s="1"/>
  <c r="W43" i="8" s="1"/>
  <c r="W46" i="8" s="1"/>
  <c r="W49" i="8" s="1"/>
  <c r="M29" i="8"/>
  <c r="M30" i="8" s="1"/>
  <c r="AC20" i="8"/>
  <c r="H8" i="8"/>
  <c r="O23" i="8"/>
  <c r="P22" i="8"/>
  <c r="Q22" i="8" s="1"/>
  <c r="AD11" i="9"/>
  <c r="O51" i="8"/>
  <c r="P51" i="8" s="1"/>
  <c r="Q51" i="8" s="1"/>
  <c r="P50" i="8"/>
  <c r="Q50" i="8" s="1"/>
  <c r="J5" i="8"/>
  <c r="J6" i="8" s="1"/>
  <c r="J7" i="8" s="1"/>
  <c r="M7" i="8"/>
  <c r="O13" i="8"/>
  <c r="I11" i="8"/>
  <c r="K11" i="8" s="1"/>
  <c r="P86" i="7"/>
  <c r="D8" i="8"/>
  <c r="D15" i="8"/>
  <c r="J20" i="8"/>
  <c r="J21" i="8" s="1"/>
  <c r="J22" i="8" s="1"/>
  <c r="C18" i="8"/>
  <c r="H14" i="8"/>
  <c r="O52" i="8"/>
  <c r="O27" i="8"/>
  <c r="P27" i="8" s="1"/>
  <c r="Q27" i="8" s="1"/>
  <c r="K6" i="8"/>
  <c r="U5" i="8"/>
  <c r="W52" i="8" l="1"/>
  <c r="W55" i="8" s="1"/>
  <c r="W58" i="8" s="1"/>
  <c r="W61" i="8" s="1"/>
  <c r="W64" i="8" s="1"/>
  <c r="W67" i="8" s="1"/>
  <c r="W70" i="8" s="1"/>
  <c r="W73" i="8" s="1"/>
  <c r="W76" i="8" s="1"/>
  <c r="W79" i="8" s="1"/>
  <c r="W82" i="8" s="1"/>
  <c r="W85" i="8" s="1"/>
  <c r="W88" i="8" s="1"/>
  <c r="W91" i="8" s="1"/>
  <c r="W94" i="8" s="1"/>
  <c r="W97" i="8" s="1"/>
  <c r="W100" i="8" s="1"/>
  <c r="W103" i="8" s="1"/>
  <c r="W106" i="8" s="1"/>
  <c r="W109" i="8" s="1"/>
  <c r="W112" i="8" s="1"/>
  <c r="W115" i="8" s="1"/>
  <c r="W118" i="8" s="1"/>
  <c r="W121" i="8" s="1"/>
  <c r="W124" i="8" s="1"/>
  <c r="W127" i="8" s="1"/>
  <c r="W130" i="8" s="1"/>
  <c r="U6" i="8"/>
  <c r="K7" i="8"/>
  <c r="U7" i="8" s="1"/>
  <c r="O10" i="8"/>
  <c r="I8" i="8"/>
  <c r="K8" i="8" s="1"/>
  <c r="AD20" i="8"/>
  <c r="P8" i="8"/>
  <c r="Q8" i="8" s="1"/>
  <c r="O9" i="8"/>
  <c r="P9" i="8" s="1"/>
  <c r="Q9" i="8" s="1"/>
  <c r="O14" i="8"/>
  <c r="P13" i="8"/>
  <c r="Q13" i="8" s="1"/>
  <c r="D27" i="6"/>
  <c r="J8" i="8"/>
  <c r="J9" i="8" s="1"/>
  <c r="J10" i="8" s="1"/>
  <c r="O16" i="8"/>
  <c r="D18" i="8"/>
  <c r="I17" i="8" s="1"/>
  <c r="K17" i="8" s="1"/>
  <c r="I14" i="8"/>
  <c r="K14" i="8" s="1"/>
  <c r="O53" i="8"/>
  <c r="P52" i="8"/>
  <c r="Q52" i="8" s="1"/>
  <c r="O24" i="8"/>
  <c r="P24" i="8" s="1"/>
  <c r="Q24" i="8" s="1"/>
  <c r="P23" i="8"/>
  <c r="Q23" i="8" s="1"/>
  <c r="H17" i="8"/>
  <c r="N7" i="8"/>
  <c r="M8" i="8"/>
  <c r="M9" i="8" s="1"/>
  <c r="K12" i="8"/>
  <c r="U11" i="8"/>
  <c r="J14" i="8"/>
  <c r="J15" i="8" s="1"/>
  <c r="J16" i="8" s="1"/>
  <c r="M13" i="8" l="1"/>
  <c r="M14" i="8" s="1"/>
  <c r="M15" i="8" s="1"/>
  <c r="M10" i="8"/>
  <c r="M11" i="8" s="1"/>
  <c r="M12" i="8" s="1"/>
  <c r="P14" i="8"/>
  <c r="Q14" i="8" s="1"/>
  <c r="O15" i="8"/>
  <c r="P15" i="8" s="1"/>
  <c r="Q15" i="8" s="1"/>
  <c r="U93" i="7"/>
  <c r="N8" i="8"/>
  <c r="N9" i="8" s="1"/>
  <c r="N10" i="8"/>
  <c r="P10" i="8"/>
  <c r="Q10" i="8" s="1"/>
  <c r="O11" i="8"/>
  <c r="K18" i="8"/>
  <c r="U17" i="8"/>
  <c r="O19" i="8"/>
  <c r="U8" i="8"/>
  <c r="K9" i="8"/>
  <c r="U14" i="8"/>
  <c r="K15" i="8"/>
  <c r="O17" i="8"/>
  <c r="P16" i="8"/>
  <c r="Q16" i="8" s="1"/>
  <c r="J17" i="8"/>
  <c r="J18" i="8" s="1"/>
  <c r="J19" i="8" s="1"/>
  <c r="M19" i="8"/>
  <c r="M20" i="8" s="1"/>
  <c r="M21" i="8" s="1"/>
  <c r="M22" i="8"/>
  <c r="M23" i="8" s="1"/>
  <c r="M24" i="8" s="1"/>
  <c r="AE20" i="8"/>
  <c r="AF20" i="8"/>
  <c r="M16" i="8"/>
  <c r="M17" i="8" s="1"/>
  <c r="M18" i="8" s="1"/>
  <c r="U12" i="8"/>
  <c r="K13" i="8"/>
  <c r="U13" i="8" s="1"/>
  <c r="O54" i="8"/>
  <c r="P54" i="8" s="1"/>
  <c r="Q54" i="8" s="1"/>
  <c r="P53" i="8"/>
  <c r="Q53" i="8" s="1"/>
  <c r="U9" i="8" l="1"/>
  <c r="K10" i="8"/>
  <c r="U10" i="8" s="1"/>
  <c r="O12" i="8"/>
  <c r="P12" i="8" s="1"/>
  <c r="Q12" i="8" s="1"/>
  <c r="P11" i="8"/>
  <c r="Q11" i="8" s="1"/>
  <c r="N11" i="8"/>
  <c r="N12" i="8" s="1"/>
  <c r="N13" i="8"/>
  <c r="O20" i="8"/>
  <c r="P19" i="8"/>
  <c r="Q19" i="8" s="1"/>
  <c r="K19" i="8"/>
  <c r="U19" i="8" s="1"/>
  <c r="U18" i="8"/>
  <c r="O18" i="8"/>
  <c r="P18" i="8" s="1"/>
  <c r="Q18" i="8" s="1"/>
  <c r="P17" i="8"/>
  <c r="Q17" i="8" s="1"/>
  <c r="K16" i="8"/>
  <c r="U16" i="8" s="1"/>
  <c r="U15" i="8"/>
  <c r="N14" i="8" l="1"/>
  <c r="N15" i="8" s="1"/>
  <c r="N16" i="8"/>
  <c r="C45" i="9"/>
  <c r="C46" i="9" s="1"/>
  <c r="D31" i="6" s="1"/>
  <c r="O21" i="8"/>
  <c r="P21" i="8" s="1"/>
  <c r="Q21" i="8" s="1"/>
  <c r="P20" i="8"/>
  <c r="Q20" i="8" s="1"/>
  <c r="N19" i="8" l="1"/>
  <c r="N17" i="8"/>
  <c r="N18" i="8" s="1"/>
  <c r="N22" i="8" l="1"/>
  <c r="N20" i="8"/>
  <c r="N21" i="8" s="1"/>
  <c r="N23" i="8" l="1"/>
  <c r="N24" i="8" s="1"/>
  <c r="N25" i="8"/>
  <c r="N28" i="8" l="1"/>
  <c r="N26" i="8"/>
  <c r="N27" i="8" s="1"/>
  <c r="N31" i="8" l="1"/>
  <c r="N29" i="8"/>
  <c r="N30" i="8" s="1"/>
  <c r="N32" i="8" l="1"/>
  <c r="N33" i="8" s="1"/>
  <c r="N34" i="8"/>
  <c r="N35" i="8" l="1"/>
  <c r="N36" i="8" s="1"/>
  <c r="N37" i="8"/>
  <c r="N40" i="8" l="1"/>
  <c r="N38" i="8"/>
  <c r="N39" i="8" s="1"/>
  <c r="N41" i="8" l="1"/>
  <c r="N42" i="8" s="1"/>
  <c r="N43" i="8"/>
  <c r="N46" i="8" l="1"/>
  <c r="N44" i="8"/>
  <c r="N45" i="8" s="1"/>
  <c r="N47" i="8" l="1"/>
  <c r="N48" i="8" s="1"/>
  <c r="N49" i="8"/>
  <c r="N50" i="8" l="1"/>
  <c r="N51" i="8" s="1"/>
  <c r="N52" i="8"/>
  <c r="N53" i="8" l="1"/>
  <c r="N54" i="8" s="1"/>
  <c r="N55" i="8"/>
  <c r="N56" i="8" l="1"/>
  <c r="N57" i="8" s="1"/>
  <c r="N58" i="8"/>
  <c r="N59" i="8" l="1"/>
  <c r="N60" i="8" s="1"/>
  <c r="N61" i="8"/>
  <c r="N64" i="8" l="1"/>
  <c r="N62" i="8"/>
  <c r="N63" i="8" s="1"/>
  <c r="N65" i="8" l="1"/>
  <c r="N66" i="8" s="1"/>
  <c r="N67" i="8"/>
  <c r="N70" i="8" l="1"/>
  <c r="N68" i="8"/>
  <c r="N69" i="8" s="1"/>
  <c r="N71" i="8" l="1"/>
  <c r="N72" i="8" s="1"/>
  <c r="N73" i="8"/>
  <c r="N74" i="8" l="1"/>
  <c r="N75" i="8" s="1"/>
  <c r="N76" i="8"/>
  <c r="N77" i="8" l="1"/>
  <c r="N78" i="8" s="1"/>
  <c r="N79" i="8"/>
  <c r="N82" i="8" l="1"/>
  <c r="N80" i="8"/>
  <c r="N81" i="8" s="1"/>
  <c r="N85" i="8" l="1"/>
  <c r="N83" i="8"/>
  <c r="N84" i="8" s="1"/>
  <c r="N88" i="8" l="1"/>
  <c r="N86" i="8"/>
  <c r="N87" i="8" s="1"/>
  <c r="N89" i="8" l="1"/>
  <c r="N90" i="8" s="1"/>
  <c r="N91" i="8"/>
  <c r="N94" i="8" l="1"/>
  <c r="N92" i="8"/>
  <c r="N93" i="8" s="1"/>
  <c r="N97" i="8" l="1"/>
  <c r="N95" i="8"/>
  <c r="N96" i="8" s="1"/>
  <c r="N98" i="8" l="1"/>
  <c r="N99" i="8" s="1"/>
  <c r="N100" i="8"/>
  <c r="N101" i="8" l="1"/>
  <c r="N102" i="8" s="1"/>
  <c r="N103" i="8"/>
  <c r="N106" i="8" l="1"/>
  <c r="N104" i="8"/>
  <c r="N105" i="8" s="1"/>
  <c r="D32" i="6" l="1"/>
  <c r="N109" i="8"/>
  <c r="N107" i="8"/>
  <c r="N108" i="8" s="1"/>
  <c r="U95" i="7"/>
  <c r="U94" i="7"/>
  <c r="S10" i="8" l="1"/>
  <c r="S17" i="8"/>
  <c r="S26" i="8"/>
  <c r="S37" i="8"/>
  <c r="S41" i="8"/>
  <c r="S48" i="8"/>
  <c r="S57" i="8"/>
  <c r="S65" i="8"/>
  <c r="S51" i="8"/>
  <c r="S36" i="8"/>
  <c r="S64" i="8"/>
  <c r="S62" i="8"/>
  <c r="S45" i="8"/>
  <c r="S19" i="8"/>
  <c r="S11" i="8"/>
  <c r="S18" i="8"/>
  <c r="S28" i="8"/>
  <c r="S33" i="8"/>
  <c r="S42" i="8"/>
  <c r="S50" i="8"/>
  <c r="S59" i="8"/>
  <c r="S66" i="8"/>
  <c r="S61" i="8"/>
  <c r="S46" i="8"/>
  <c r="S38" i="8"/>
  <c r="S30" i="8"/>
  <c r="S49" i="8"/>
  <c r="S52" i="8"/>
  <c r="C48" i="9"/>
  <c r="C49" i="9" s="1"/>
  <c r="S13" i="8"/>
  <c r="S22" i="8"/>
  <c r="S31" i="8"/>
  <c r="S35" i="8"/>
  <c r="S44" i="8"/>
  <c r="S68" i="8"/>
  <c r="S70" i="8"/>
  <c r="S53" i="8"/>
  <c r="S40" i="8"/>
  <c r="S34" i="8"/>
  <c r="S56" i="8"/>
  <c r="S5" i="8"/>
  <c r="S14" i="8"/>
  <c r="S20" i="8"/>
  <c r="S27" i="8"/>
  <c r="S55" i="8"/>
  <c r="S54" i="8"/>
  <c r="S43" i="8"/>
  <c r="S7" i="8"/>
  <c r="S16" i="8"/>
  <c r="S21" i="8"/>
  <c r="S29" i="8"/>
  <c r="S47" i="8"/>
  <c r="S69" i="8"/>
  <c r="S60" i="8"/>
  <c r="S58" i="8"/>
  <c r="S67" i="8"/>
  <c r="S6" i="8"/>
  <c r="S12" i="8"/>
  <c r="S25" i="8"/>
  <c r="S23" i="8"/>
  <c r="S8" i="8"/>
  <c r="S63" i="8"/>
  <c r="S9" i="8"/>
  <c r="S15" i="8"/>
  <c r="S24" i="8"/>
  <c r="S32" i="8"/>
  <c r="S39" i="8"/>
  <c r="N112" i="8"/>
  <c r="N110" i="8"/>
  <c r="N111" i="8" s="1"/>
  <c r="T7" i="8" l="1"/>
  <c r="R7" i="8"/>
  <c r="T56" i="8"/>
  <c r="R56" i="8"/>
  <c r="T31" i="8"/>
  <c r="R31" i="8"/>
  <c r="T46" i="8"/>
  <c r="R46" i="8"/>
  <c r="T18" i="8"/>
  <c r="R18" i="8"/>
  <c r="R65" i="8"/>
  <c r="T65" i="8"/>
  <c r="R9" i="8"/>
  <c r="T9" i="8"/>
  <c r="R57" i="8"/>
  <c r="T57" i="8"/>
  <c r="R58" i="8"/>
  <c r="T58" i="8"/>
  <c r="T63" i="8"/>
  <c r="R63" i="8"/>
  <c r="T66" i="8"/>
  <c r="R66" i="8"/>
  <c r="T19" i="8"/>
  <c r="R19" i="8"/>
  <c r="T48" i="8"/>
  <c r="R48" i="8"/>
  <c r="R34" i="8"/>
  <c r="T34" i="8"/>
  <c r="T60" i="8"/>
  <c r="R60" i="8"/>
  <c r="T55" i="8"/>
  <c r="R55" i="8"/>
  <c r="R59" i="8"/>
  <c r="T59" i="8"/>
  <c r="T45" i="8"/>
  <c r="R45" i="8"/>
  <c r="R41" i="8"/>
  <c r="T41" i="8"/>
  <c r="T61" i="8"/>
  <c r="R61" i="8"/>
  <c r="T40" i="8"/>
  <c r="R40" i="8"/>
  <c r="T47" i="8"/>
  <c r="R47" i="8"/>
  <c r="T52" i="8"/>
  <c r="R52" i="8"/>
  <c r="R50" i="8"/>
  <c r="T50" i="8"/>
  <c r="T62" i="8"/>
  <c r="R62" i="8"/>
  <c r="T37" i="8"/>
  <c r="R37" i="8"/>
  <c r="T15" i="8"/>
  <c r="R15" i="8"/>
  <c r="T43" i="8"/>
  <c r="R43" i="8"/>
  <c r="T13" i="8"/>
  <c r="R13" i="8"/>
  <c r="T69" i="8"/>
  <c r="R69" i="8"/>
  <c r="T23" i="8"/>
  <c r="R23" i="8"/>
  <c r="T29" i="8"/>
  <c r="R29" i="8"/>
  <c r="T68" i="8"/>
  <c r="R68" i="8"/>
  <c r="T49" i="8"/>
  <c r="R49" i="8"/>
  <c r="R42" i="8"/>
  <c r="T42" i="8"/>
  <c r="R64" i="8"/>
  <c r="T64" i="8"/>
  <c r="T26" i="8"/>
  <c r="R26" i="8"/>
  <c r="T67" i="8"/>
  <c r="R67" i="8"/>
  <c r="R22" i="8"/>
  <c r="T22" i="8"/>
  <c r="R53" i="8"/>
  <c r="T53" i="8"/>
  <c r="S75" i="8"/>
  <c r="S80" i="8"/>
  <c r="S87" i="8"/>
  <c r="S96" i="8"/>
  <c r="S93" i="8"/>
  <c r="S101" i="8"/>
  <c r="S78" i="8"/>
  <c r="S82" i="8"/>
  <c r="S85" i="8"/>
  <c r="S71" i="8"/>
  <c r="S100" i="8"/>
  <c r="S91" i="8"/>
  <c r="R70" i="8"/>
  <c r="S97" i="8"/>
  <c r="S103" i="8"/>
  <c r="S106" i="8"/>
  <c r="S94" i="8"/>
  <c r="S89" i="8"/>
  <c r="S95" i="8"/>
  <c r="S84" i="8"/>
  <c r="S72" i="8"/>
  <c r="S81" i="8"/>
  <c r="S88" i="8"/>
  <c r="S90" i="8"/>
  <c r="S83" i="8"/>
  <c r="S105" i="8"/>
  <c r="S104" i="8"/>
  <c r="S76" i="8"/>
  <c r="S79" i="8"/>
  <c r="S86" i="8"/>
  <c r="T70" i="8"/>
  <c r="S98" i="8"/>
  <c r="S92" i="8"/>
  <c r="S102" i="8"/>
  <c r="S77" i="8"/>
  <c r="S74" i="8"/>
  <c r="S99" i="8"/>
  <c r="S73" i="8"/>
  <c r="T25" i="8"/>
  <c r="R25" i="8"/>
  <c r="R32" i="8"/>
  <c r="T32" i="8"/>
  <c r="R21" i="8"/>
  <c r="T21" i="8"/>
  <c r="T14" i="8"/>
  <c r="R14" i="8"/>
  <c r="R44" i="8"/>
  <c r="T44" i="8"/>
  <c r="T30" i="8"/>
  <c r="R30" i="8"/>
  <c r="R33" i="8"/>
  <c r="T33" i="8"/>
  <c r="T36" i="8"/>
  <c r="R36" i="8"/>
  <c r="T17" i="8"/>
  <c r="R17" i="8"/>
  <c r="T11" i="8"/>
  <c r="R11" i="8"/>
  <c r="T54" i="8"/>
  <c r="R54" i="8"/>
  <c r="R8" i="8"/>
  <c r="T8" i="8"/>
  <c r="N115" i="8"/>
  <c r="N113" i="8"/>
  <c r="N114" i="8" s="1"/>
  <c r="S135" i="8"/>
  <c r="T135" i="8" s="1"/>
  <c r="T27" i="8"/>
  <c r="R27" i="8"/>
  <c r="T39" i="8"/>
  <c r="R39" i="8"/>
  <c r="T20" i="8"/>
  <c r="R20" i="8"/>
  <c r="T12" i="8"/>
  <c r="R12" i="8"/>
  <c r="T24" i="8"/>
  <c r="R24" i="8"/>
  <c r="T6" i="8"/>
  <c r="R6" i="8"/>
  <c r="T16" i="8"/>
  <c r="R16" i="8"/>
  <c r="R5" i="8"/>
  <c r="T5" i="8"/>
  <c r="T35" i="8"/>
  <c r="R35" i="8"/>
  <c r="R38" i="8"/>
  <c r="T38" i="8"/>
  <c r="R28" i="8"/>
  <c r="T28" i="8"/>
  <c r="R51" i="8"/>
  <c r="T51" i="8"/>
  <c r="T10" i="8"/>
  <c r="R10" i="8"/>
  <c r="R98" i="8" l="1"/>
  <c r="T98" i="8"/>
  <c r="T90" i="8"/>
  <c r="R90" i="8"/>
  <c r="R106" i="8"/>
  <c r="T106" i="8"/>
  <c r="R82" i="8"/>
  <c r="T82" i="8"/>
  <c r="N116" i="8"/>
  <c r="N117" i="8" s="1"/>
  <c r="N118" i="8"/>
  <c r="R88" i="8"/>
  <c r="T88" i="8"/>
  <c r="R103" i="8"/>
  <c r="T103" i="8"/>
  <c r="T78" i="8"/>
  <c r="R78" i="8"/>
  <c r="T86" i="8"/>
  <c r="R86" i="8"/>
  <c r="T81" i="8"/>
  <c r="R81" i="8"/>
  <c r="T97" i="8"/>
  <c r="R97" i="8"/>
  <c r="R101" i="8"/>
  <c r="T101" i="8"/>
  <c r="R99" i="8"/>
  <c r="T99" i="8"/>
  <c r="T79" i="8"/>
  <c r="R79" i="8"/>
  <c r="T72" i="8"/>
  <c r="R72" i="8"/>
  <c r="T93" i="8"/>
  <c r="R93" i="8"/>
  <c r="T74" i="8"/>
  <c r="R74" i="8"/>
  <c r="R76" i="8"/>
  <c r="T76" i="8"/>
  <c r="R84" i="8"/>
  <c r="T84" i="8"/>
  <c r="R91" i="8"/>
  <c r="T91" i="8"/>
  <c r="T96" i="8"/>
  <c r="R96" i="8"/>
  <c r="T77" i="8"/>
  <c r="R77" i="8"/>
  <c r="R104" i="8"/>
  <c r="T104" i="8"/>
  <c r="T95" i="8"/>
  <c r="R95" i="8"/>
  <c r="T100" i="8"/>
  <c r="R100" i="8"/>
  <c r="T87" i="8"/>
  <c r="R87" i="8"/>
  <c r="R73" i="8"/>
  <c r="T73" i="8"/>
  <c r="T102" i="8"/>
  <c r="R102" i="8"/>
  <c r="T105" i="8"/>
  <c r="R105" i="8"/>
  <c r="R89" i="8"/>
  <c r="T89" i="8"/>
  <c r="T71" i="8"/>
  <c r="R71" i="8"/>
  <c r="R80" i="8"/>
  <c r="T80" i="8"/>
  <c r="R92" i="8"/>
  <c r="T92" i="8"/>
  <c r="R83" i="8"/>
  <c r="T83" i="8"/>
  <c r="R94" i="8"/>
  <c r="T94" i="8"/>
  <c r="R85" i="8"/>
  <c r="T85" i="8"/>
  <c r="R75" i="8"/>
  <c r="T75" i="8"/>
  <c r="N119" i="8" l="1"/>
  <c r="N120" i="8" s="1"/>
  <c r="N121" i="8"/>
  <c r="N122" i="8" l="1"/>
  <c r="N124" i="8"/>
  <c r="N127" i="8" l="1"/>
  <c r="N125" i="8"/>
  <c r="D33" i="6"/>
  <c r="C51" i="9"/>
  <c r="C52" i="9" s="1"/>
  <c r="N123" i="8"/>
  <c r="N126" i="8" l="1"/>
  <c r="N128" i="8"/>
  <c r="N130" i="8"/>
  <c r="S128" i="8" l="1"/>
  <c r="N129" i="8"/>
  <c r="S129" i="8" s="1"/>
  <c r="S127" i="8"/>
  <c r="S107" i="8"/>
  <c r="S118" i="8"/>
  <c r="S108" i="8"/>
  <c r="S121" i="8"/>
  <c r="C54" i="9"/>
  <c r="C55" i="9" s="1"/>
  <c r="D37" i="6"/>
  <c r="D34" i="6" s="1"/>
  <c r="S110" i="8"/>
  <c r="S116" i="8"/>
  <c r="S112" i="8"/>
  <c r="S130" i="8"/>
  <c r="S119" i="8"/>
  <c r="S111" i="8"/>
  <c r="S113" i="8"/>
  <c r="S117" i="8"/>
  <c r="S115" i="8"/>
  <c r="S120" i="8"/>
  <c r="S109" i="8"/>
  <c r="S114" i="8"/>
  <c r="S124" i="8"/>
  <c r="S122" i="8"/>
  <c r="S126" i="8"/>
  <c r="S125" i="8"/>
  <c r="S123" i="8"/>
  <c r="R124" i="8" l="1"/>
  <c r="T124" i="8"/>
  <c r="T119" i="8"/>
  <c r="R119" i="8"/>
  <c r="T107" i="8"/>
  <c r="R107" i="8"/>
  <c r="T113" i="8"/>
  <c r="R113" i="8"/>
  <c r="T111" i="8"/>
  <c r="R111" i="8"/>
  <c r="D45" i="9"/>
  <c r="D46" i="9" s="1"/>
  <c r="D48" i="9"/>
  <c r="D49" i="9" s="1"/>
  <c r="D42" i="9"/>
  <c r="D43" i="9" s="1"/>
  <c r="R130" i="8"/>
  <c r="D54" i="9"/>
  <c r="D55" i="9" s="1"/>
  <c r="D51" i="9"/>
  <c r="D52" i="9" s="1"/>
  <c r="T130" i="8"/>
  <c r="T109" i="8"/>
  <c r="R109" i="8"/>
  <c r="T116" i="8"/>
  <c r="R116" i="8"/>
  <c r="R127" i="8"/>
  <c r="T127" i="8"/>
  <c r="R126" i="8"/>
  <c r="T126" i="8"/>
  <c r="R122" i="8"/>
  <c r="T122" i="8"/>
  <c r="R108" i="8"/>
  <c r="T108" i="8"/>
  <c r="T112" i="8"/>
  <c r="R112" i="8"/>
  <c r="T123" i="8"/>
  <c r="R123" i="8"/>
  <c r="T115" i="8"/>
  <c r="R115" i="8"/>
  <c r="R110" i="8"/>
  <c r="T110" i="8"/>
  <c r="R129" i="8"/>
  <c r="T129" i="8"/>
  <c r="T121" i="8"/>
  <c r="R121" i="8"/>
  <c r="R114" i="8"/>
  <c r="T114" i="8"/>
  <c r="T118" i="8"/>
  <c r="R118" i="8"/>
  <c r="R120" i="8"/>
  <c r="T120" i="8"/>
  <c r="T125" i="8"/>
  <c r="R125" i="8"/>
  <c r="R117" i="8"/>
  <c r="T117" i="8"/>
  <c r="R128" i="8"/>
  <c r="T128" i="8"/>
</calcChain>
</file>

<file path=xl/sharedStrings.xml><?xml version="1.0" encoding="utf-8"?>
<sst xmlns="http://schemas.openxmlformats.org/spreadsheetml/2006/main" count="330" uniqueCount="145">
  <si>
    <t>=</t>
  </si>
  <si>
    <t>L</t>
  </si>
  <si>
    <t>cu.ft.</t>
  </si>
  <si>
    <t>A</t>
  </si>
  <si>
    <t>B</t>
  </si>
  <si>
    <t>C</t>
  </si>
  <si>
    <t>D</t>
  </si>
  <si>
    <t>x</t>
  </si>
  <si>
    <t>y</t>
  </si>
  <si>
    <t>dX</t>
  </si>
  <si>
    <t>dY</t>
  </si>
  <si>
    <t>p</t>
  </si>
  <si>
    <t>Panels</t>
  </si>
  <si>
    <t>#</t>
  </si>
  <si>
    <t>d</t>
  </si>
  <si>
    <t>S1</t>
  </si>
  <si>
    <t>S4</t>
  </si>
  <si>
    <t>STH Version</t>
  </si>
  <si>
    <t>l.</t>
  </si>
  <si>
    <t>Vol. (net)</t>
  </si>
  <si>
    <t>Vol. (gross)</t>
  </si>
  <si>
    <t>cm^2</t>
  </si>
  <si>
    <t>l</t>
  </si>
  <si>
    <t>Advanced Centerline</t>
  </si>
  <si>
    <t>Driver</t>
  </si>
  <si>
    <t>cm</t>
  </si>
  <si>
    <t>L12</t>
  </si>
  <si>
    <t>Frame Width</t>
  </si>
  <si>
    <t>Magnet Width</t>
  </si>
  <si>
    <t>Magnet Height</t>
  </si>
  <si>
    <t>Plot</t>
  </si>
  <si>
    <t>Delta</t>
  </si>
  <si>
    <t>Mounting Width</t>
  </si>
  <si>
    <t>Panel B</t>
  </si>
  <si>
    <t>Panel F</t>
  </si>
  <si>
    <t>Panel G</t>
  </si>
  <si>
    <t>Panel H</t>
  </si>
  <si>
    <t>Panel I</t>
  </si>
  <si>
    <t>Mounting Depth</t>
  </si>
  <si>
    <t>v</t>
  </si>
  <si>
    <t>Panel D (back)</t>
  </si>
  <si>
    <t>Cos</t>
  </si>
  <si>
    <t>Sin</t>
  </si>
  <si>
    <t>Path Calculations</t>
  </si>
  <si>
    <t>dS</t>
  </si>
  <si>
    <t>tan</t>
  </si>
  <si>
    <t>S2</t>
  </si>
  <si>
    <t>dx</t>
  </si>
  <si>
    <t>dy</t>
  </si>
  <si>
    <t>S</t>
  </si>
  <si>
    <t>Pnl Vol</t>
  </si>
  <si>
    <t>L (actual)</t>
  </si>
  <si>
    <t>d (external)</t>
  </si>
  <si>
    <t>h (external)</t>
  </si>
  <si>
    <t>w (external)</t>
  </si>
  <si>
    <t>Panel C (top, bottom)</t>
  </si>
  <si>
    <t>Panel E (front)</t>
  </si>
  <si>
    <t>Expansion 1</t>
  </si>
  <si>
    <t>Expansion 2</t>
  </si>
  <si>
    <t>Face (1)</t>
  </si>
  <si>
    <t>S3</t>
  </si>
  <si>
    <t>S5</t>
  </si>
  <si>
    <t>L45</t>
  </si>
  <si>
    <t>L34</t>
  </si>
  <si>
    <t>L23</t>
  </si>
  <si>
    <t>in</t>
  </si>
  <si>
    <t>Panel B (1st inside)</t>
  </si>
  <si>
    <t>o</t>
  </si>
  <si>
    <t>Graph Axes</t>
  </si>
  <si>
    <t>Guides</t>
  </si>
  <si>
    <t>Sample points</t>
  </si>
  <si>
    <t>Exp. 1</t>
  </si>
  <si>
    <t>Exp. 2</t>
  </si>
  <si>
    <t>Exp. 3</t>
  </si>
  <si>
    <t>Exp. 1 + 3</t>
  </si>
  <si>
    <t>a1</t>
  </si>
  <si>
    <t>a2</t>
  </si>
  <si>
    <t>a3</t>
  </si>
  <si>
    <t>Exp. 2-1</t>
  </si>
  <si>
    <t>n</t>
  </si>
  <si>
    <t>x=yes</t>
  </si>
  <si>
    <t>HornResp Params</t>
  </si>
  <si>
    <t>Box Dimensions</t>
  </si>
  <si>
    <t>Driver Dimensions</t>
  </si>
  <si>
    <t>S3 at 3rd fold?</t>
  </si>
  <si>
    <t>Horn Design</t>
  </si>
  <si>
    <t>Panel G1</t>
  </si>
  <si>
    <t>Panel G2</t>
  </si>
  <si>
    <t>Cone Area Adj. (S2)</t>
  </si>
  <si>
    <t>Intersection points</t>
  </si>
  <si>
    <t>Driver centerline</t>
  </si>
  <si>
    <t>x1</t>
  </si>
  <si>
    <t>y1</t>
  </si>
  <si>
    <t>x2</t>
  </si>
  <si>
    <t>y2</t>
  </si>
  <si>
    <t>a</t>
  </si>
  <si>
    <t>b</t>
  </si>
  <si>
    <t>Panel B (top)</t>
  </si>
  <si>
    <t>Panel B (bottom)</t>
  </si>
  <si>
    <t>Panel F (top)</t>
  </si>
  <si>
    <t>Panel G (top)</t>
  </si>
  <si>
    <t>Panel G offset</t>
  </si>
  <si>
    <t>driver offset (y)</t>
  </si>
  <si>
    <t>driver offset (x)</t>
  </si>
  <si>
    <t>S2 Section</t>
  </si>
  <si>
    <t>S2 delta</t>
  </si>
  <si>
    <t>S2'</t>
  </si>
  <si>
    <t>Exp. 4</t>
  </si>
  <si>
    <t>Expansion 0</t>
  </si>
  <si>
    <t>Panel G1 (bottom)</t>
  </si>
  <si>
    <t>Cone Comp.</t>
  </si>
  <si>
    <t>Cone Compensation</t>
  </si>
  <si>
    <t>Sample Point 3</t>
  </si>
  <si>
    <t>Sample Point 5</t>
  </si>
  <si>
    <t>Panel B, driver baffle</t>
  </si>
  <si>
    <t>Panel A, top &amp; bottom</t>
  </si>
  <si>
    <t>Panel C, sides</t>
  </si>
  <si>
    <t>Panel D, back</t>
  </si>
  <si>
    <t>Panel E, front</t>
  </si>
  <si>
    <t>Panel F, 1st inside</t>
  </si>
  <si>
    <t>Front</t>
  </si>
  <si>
    <t>Back</t>
  </si>
  <si>
    <t>Edges</t>
  </si>
  <si>
    <t>Instructions</t>
  </si>
  <si>
    <t>Draw out the guides on the side panels as illustrated. One panel must mirror the other</t>
  </si>
  <si>
    <t>Using the guides on the side panel, join the speaker baffle and all of the internal panels to the side panel.</t>
  </si>
  <si>
    <t xml:space="preserve">Join the front panel, top and bottom panels and back panels to the side panel to which the other panels have already been joined.  </t>
  </si>
  <si>
    <t xml:space="preserve">Double-check to ensure that all joins are airtight. </t>
  </si>
  <si>
    <t>Finally, join the remaining side panel to the rest of the box.  This should complete the build. Again, ensure that all joins are airtight.</t>
  </si>
  <si>
    <t>Bracing</t>
  </si>
  <si>
    <t>Guide 1</t>
  </si>
  <si>
    <t>Guide 2</t>
  </si>
  <si>
    <t>Suggested braces</t>
  </si>
  <si>
    <t>Guide 3</t>
  </si>
  <si>
    <t>Panel G1, 2nd inside</t>
  </si>
  <si>
    <t>G1+G2</t>
  </si>
  <si>
    <t>Panel G2, 3rd inside</t>
  </si>
  <si>
    <t>Panel H, 4th inside</t>
  </si>
  <si>
    <t>Panel I, 5th inside</t>
  </si>
  <si>
    <t>Cut out and join all the rest of the bracing panels to the internal panels.</t>
  </si>
  <si>
    <t>cm^3</t>
  </si>
  <si>
    <t>Vtc</t>
  </si>
  <si>
    <t>Atc</t>
  </si>
  <si>
    <t>Cone Vol. Adj. (S2)</t>
  </si>
  <si>
    <t>Cone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</si>
</sst>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0"/>
      <name val="Arial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color rgb="FF0033CC"/>
      <name val="Arial"/>
      <family val="2"/>
    </font>
    <font>
      <b/>
      <sz val="8"/>
      <color rgb="FF0000F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0" xfId="0" applyFont="1"/>
    <xf numFmtId="0" fontId="2" fillId="2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4" borderId="3" xfId="0" applyFont="1" applyFill="1" applyBorder="1"/>
    <xf numFmtId="0" fontId="3" fillId="4" borderId="7" xfId="0" applyFont="1" applyFill="1" applyBorder="1"/>
    <xf numFmtId="164" fontId="3" fillId="4" borderId="7" xfId="0" applyNumberFormat="1" applyFont="1" applyFill="1" applyBorder="1" applyAlignment="1"/>
    <xf numFmtId="0" fontId="3" fillId="4" borderId="7" xfId="0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center"/>
    </xf>
    <xf numFmtId="164" fontId="3" fillId="4" borderId="8" xfId="0" applyNumberFormat="1" applyFont="1" applyFill="1" applyBorder="1" applyAlignment="1"/>
    <xf numFmtId="0" fontId="3" fillId="4" borderId="9" xfId="0" applyFont="1" applyFill="1" applyBorder="1"/>
    <xf numFmtId="0" fontId="3" fillId="4" borderId="0" xfId="0" applyFont="1" applyFill="1" applyBorder="1"/>
    <xf numFmtId="164" fontId="3" fillId="4" borderId="0" xfId="0" applyNumberFormat="1" applyFont="1" applyFill="1" applyBorder="1" applyAlignment="1"/>
    <xf numFmtId="0" fontId="3" fillId="4" borderId="0" xfId="0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4" fontId="3" fillId="4" borderId="10" xfId="0" applyNumberFormat="1" applyFont="1" applyFill="1" applyBorder="1" applyAlignment="1"/>
    <xf numFmtId="0" fontId="3" fillId="4" borderId="11" xfId="0" applyFont="1" applyFill="1" applyBorder="1"/>
    <xf numFmtId="0" fontId="3" fillId="4" borderId="12" xfId="0" applyFont="1" applyFill="1" applyBorder="1"/>
    <xf numFmtId="164" fontId="3" fillId="4" borderId="12" xfId="0" applyNumberFormat="1" applyFont="1" applyFill="1" applyBorder="1"/>
    <xf numFmtId="164" fontId="3" fillId="4" borderId="12" xfId="0" applyNumberFormat="1" applyFont="1" applyFill="1" applyBorder="1" applyAlignment="1">
      <alignment horizontal="center"/>
    </xf>
    <xf numFmtId="164" fontId="3" fillId="4" borderId="12" xfId="0" applyNumberFormat="1" applyFont="1" applyFill="1" applyBorder="1" applyAlignment="1"/>
    <xf numFmtId="0" fontId="3" fillId="4" borderId="13" xfId="0" applyFont="1" applyFill="1" applyBorder="1"/>
    <xf numFmtId="1" fontId="2" fillId="0" borderId="0" xfId="0" applyNumberFormat="1" applyFont="1"/>
    <xf numFmtId="164" fontId="4" fillId="0" borderId="14" xfId="0" applyNumberFormat="1" applyFont="1" applyFill="1" applyBorder="1"/>
    <xf numFmtId="0" fontId="2" fillId="0" borderId="4" xfId="0" applyFont="1" applyBorder="1"/>
    <xf numFmtId="0" fontId="2" fillId="0" borderId="5" xfId="0" applyFont="1" applyBorder="1"/>
    <xf numFmtId="0" fontId="1" fillId="0" borderId="2" xfId="0" applyFont="1" applyBorder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2" fillId="7" borderId="15" xfId="0" applyFont="1" applyFill="1" applyBorder="1"/>
    <xf numFmtId="0" fontId="2" fillId="7" borderId="16" xfId="0" applyFont="1" applyFill="1" applyBorder="1"/>
    <xf numFmtId="0" fontId="2" fillId="0" borderId="0" xfId="0" quotePrefix="1" applyFont="1"/>
    <xf numFmtId="164" fontId="2" fillId="0" borderId="17" xfId="0" applyNumberFormat="1" applyFont="1" applyBorder="1"/>
    <xf numFmtId="164" fontId="2" fillId="0" borderId="18" xfId="0" applyNumberFormat="1" applyFont="1" applyBorder="1"/>
    <xf numFmtId="164" fontId="2" fillId="0" borderId="19" xfId="0" applyNumberFormat="1" applyFont="1" applyBorder="1"/>
    <xf numFmtId="164" fontId="1" fillId="0" borderId="18" xfId="0" applyNumberFormat="1" applyFont="1" applyBorder="1"/>
    <xf numFmtId="164" fontId="1" fillId="0" borderId="19" xfId="0" applyNumberFormat="1" applyFont="1" applyBorder="1"/>
    <xf numFmtId="0" fontId="2" fillId="8" borderId="1" xfId="0" applyFont="1" applyFill="1" applyBorder="1"/>
    <xf numFmtId="0" fontId="2" fillId="8" borderId="2" xfId="0" applyFont="1" applyFill="1" applyBorder="1"/>
    <xf numFmtId="164" fontId="2" fillId="8" borderId="14" xfId="0" applyNumberFormat="1" applyFont="1" applyFill="1" applyBorder="1"/>
    <xf numFmtId="0" fontId="2" fillId="9" borderId="1" xfId="0" applyFont="1" applyFill="1" applyBorder="1"/>
    <xf numFmtId="0" fontId="2" fillId="9" borderId="2" xfId="0" applyFont="1" applyFill="1" applyBorder="1"/>
    <xf numFmtId="0" fontId="2" fillId="9" borderId="20" xfId="0" applyFont="1" applyFill="1" applyBorder="1"/>
    <xf numFmtId="0" fontId="2" fillId="9" borderId="21" xfId="0" applyFont="1" applyFill="1" applyBorder="1"/>
    <xf numFmtId="0" fontId="2" fillId="10" borderId="4" xfId="0" applyFont="1" applyFill="1" applyBorder="1"/>
    <xf numFmtId="0" fontId="2" fillId="10" borderId="5" xfId="0" applyFont="1" applyFill="1" applyBorder="1"/>
    <xf numFmtId="1" fontId="2" fillId="10" borderId="5" xfId="0" applyNumberFormat="1" applyFont="1" applyFill="1" applyBorder="1"/>
    <xf numFmtId="0" fontId="3" fillId="10" borderId="5" xfId="0" applyFont="1" applyFill="1" applyBorder="1"/>
    <xf numFmtId="2" fontId="2" fillId="10" borderId="5" xfId="0" applyNumberFormat="1" applyFont="1" applyFill="1" applyBorder="1"/>
    <xf numFmtId="0" fontId="1" fillId="10" borderId="5" xfId="0" applyFont="1" applyFill="1" applyBorder="1"/>
    <xf numFmtId="0" fontId="1" fillId="10" borderId="6" xfId="0" applyFont="1" applyFill="1" applyBorder="1"/>
    <xf numFmtId="0" fontId="2" fillId="10" borderId="22" xfId="0" applyFont="1" applyFill="1" applyBorder="1"/>
    <xf numFmtId="0" fontId="2" fillId="10" borderId="0" xfId="0" applyFont="1" applyFill="1" applyBorder="1"/>
    <xf numFmtId="1" fontId="2" fillId="10" borderId="0" xfId="0" applyNumberFormat="1" applyFont="1" applyFill="1" applyBorder="1"/>
    <xf numFmtId="0" fontId="3" fillId="10" borderId="0" xfId="0" applyFont="1" applyFill="1" applyBorder="1"/>
    <xf numFmtId="2" fontId="2" fillId="10" borderId="0" xfId="0" applyNumberFormat="1" applyFont="1" applyFill="1" applyBorder="1"/>
    <xf numFmtId="0" fontId="1" fillId="10" borderId="0" xfId="0" applyFont="1" applyFill="1" applyBorder="1"/>
    <xf numFmtId="0" fontId="1" fillId="10" borderId="23" xfId="0" applyFont="1" applyFill="1" applyBorder="1"/>
    <xf numFmtId="0" fontId="2" fillId="10" borderId="0" xfId="0" applyFont="1" applyFill="1" applyBorder="1" applyAlignment="1">
      <alignment horizontal="center"/>
    </xf>
    <xf numFmtId="0" fontId="2" fillId="10" borderId="23" xfId="0" applyFont="1" applyFill="1" applyBorder="1"/>
    <xf numFmtId="164" fontId="2" fillId="10" borderId="0" xfId="0" applyNumberFormat="1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164" fontId="3" fillId="10" borderId="0" xfId="0" applyNumberFormat="1" applyFont="1" applyFill="1" applyBorder="1"/>
    <xf numFmtId="0" fontId="3" fillId="10" borderId="23" xfId="0" applyFont="1" applyFill="1" applyBorder="1"/>
    <xf numFmtId="0" fontId="1" fillId="10" borderId="22" xfId="0" applyFont="1" applyFill="1" applyBorder="1"/>
    <xf numFmtId="0" fontId="2" fillId="10" borderId="20" xfId="0" applyFont="1" applyFill="1" applyBorder="1"/>
    <xf numFmtId="0" fontId="1" fillId="10" borderId="21" xfId="0" applyFont="1" applyFill="1" applyBorder="1"/>
    <xf numFmtId="164" fontId="2" fillId="10" borderId="21" xfId="0" applyNumberFormat="1" applyFont="1" applyFill="1" applyBorder="1" applyAlignment="1">
      <alignment horizontal="center"/>
    </xf>
    <xf numFmtId="0" fontId="2" fillId="10" borderId="21" xfId="0" applyFont="1" applyFill="1" applyBorder="1"/>
    <xf numFmtId="164" fontId="2" fillId="10" borderId="21" xfId="0" applyNumberFormat="1" applyFont="1" applyFill="1" applyBorder="1"/>
    <xf numFmtId="0" fontId="1" fillId="10" borderId="24" xfId="0" applyFont="1" applyFill="1" applyBorder="1"/>
    <xf numFmtId="164" fontId="7" fillId="0" borderId="15" xfId="0" applyNumberFormat="1" applyFont="1" applyFill="1" applyBorder="1" applyAlignment="1" applyProtection="1">
      <alignment horizontal="center"/>
      <protection locked="0"/>
    </xf>
    <xf numFmtId="164" fontId="4" fillId="0" borderId="15" xfId="0" applyNumberFormat="1" applyFont="1" applyFill="1" applyBorder="1" applyAlignment="1" applyProtection="1">
      <alignment horizontal="center"/>
      <protection locked="0"/>
    </xf>
    <xf numFmtId="164" fontId="4" fillId="0" borderId="15" xfId="0" applyNumberFormat="1" applyFont="1" applyFill="1" applyBorder="1" applyProtection="1">
      <protection locked="0"/>
    </xf>
    <xf numFmtId="164" fontId="4" fillId="8" borderId="14" xfId="0" applyNumberFormat="1" applyFont="1" applyFill="1" applyBorder="1" applyProtection="1">
      <protection locked="0"/>
    </xf>
    <xf numFmtId="164" fontId="4" fillId="0" borderId="14" xfId="0" applyNumberFormat="1" applyFont="1" applyBorder="1" applyProtection="1">
      <protection locked="0"/>
    </xf>
    <xf numFmtId="164" fontId="4" fillId="0" borderId="6" xfId="0" applyNumberFormat="1" applyFont="1" applyBorder="1" applyProtection="1">
      <protection locked="0"/>
    </xf>
    <xf numFmtId="164" fontId="4" fillId="0" borderId="14" xfId="0" applyNumberFormat="1" applyFont="1" applyFill="1" applyBorder="1" applyAlignment="1" applyProtection="1">
      <alignment horizontal="right"/>
      <protection locked="0"/>
    </xf>
    <xf numFmtId="2" fontId="3" fillId="0" borderId="0" xfId="0" applyNumberFormat="1" applyFont="1" applyAlignment="1">
      <alignment horizontal="center"/>
    </xf>
    <xf numFmtId="0" fontId="3" fillId="2" borderId="7" xfId="0" applyFont="1" applyFill="1" applyBorder="1"/>
    <xf numFmtId="164" fontId="3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4" fontId="3" fillId="2" borderId="7" xfId="0" applyNumberFormat="1" applyFont="1" applyFill="1" applyBorder="1" applyAlignment="1"/>
    <xf numFmtId="164" fontId="3" fillId="2" borderId="8" xfId="0" applyNumberFormat="1" applyFont="1" applyFill="1" applyBorder="1" applyAlignment="1"/>
    <xf numFmtId="0" fontId="3" fillId="11" borderId="3" xfId="0" applyFont="1" applyFill="1" applyBorder="1"/>
    <xf numFmtId="0" fontId="3" fillId="11" borderId="7" xfId="0" applyFont="1" applyFill="1" applyBorder="1"/>
    <xf numFmtId="2" fontId="3" fillId="11" borderId="8" xfId="0" applyNumberFormat="1" applyFont="1" applyFill="1" applyBorder="1"/>
    <xf numFmtId="0" fontId="3" fillId="2" borderId="9" xfId="0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/>
    <xf numFmtId="164" fontId="3" fillId="2" borderId="10" xfId="0" applyNumberFormat="1" applyFont="1" applyFill="1" applyBorder="1" applyAlignment="1"/>
    <xf numFmtId="0" fontId="3" fillId="11" borderId="9" xfId="0" applyFont="1" applyFill="1" applyBorder="1"/>
    <xf numFmtId="0" fontId="3" fillId="11" borderId="0" xfId="0" applyFont="1" applyFill="1" applyBorder="1"/>
    <xf numFmtId="2" fontId="3" fillId="11" borderId="10" xfId="0" applyNumberFormat="1" applyFont="1" applyFill="1" applyBorder="1"/>
    <xf numFmtId="0" fontId="3" fillId="11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164" fontId="3" fillId="2" borderId="12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/>
    <xf numFmtId="0" fontId="3" fillId="2" borderId="13" xfId="0" applyFont="1" applyFill="1" applyBorder="1"/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3" fillId="11" borderId="11" xfId="0" applyFont="1" applyFill="1" applyBorder="1"/>
    <xf numFmtId="0" fontId="3" fillId="11" borderId="12" xfId="0" applyFont="1" applyFill="1" applyBorder="1"/>
    <xf numFmtId="2" fontId="3" fillId="11" borderId="13" xfId="0" applyNumberFormat="1" applyFont="1" applyFill="1" applyBorder="1"/>
    <xf numFmtId="164" fontId="3" fillId="2" borderId="13" xfId="0" applyNumberFormat="1" applyFont="1" applyFill="1" applyBorder="1" applyAlignment="1"/>
    <xf numFmtId="0" fontId="3" fillId="2" borderId="12" xfId="0" applyFont="1" applyFill="1" applyBorder="1" applyAlignment="1">
      <alignment horizontal="center"/>
    </xf>
    <xf numFmtId="164" fontId="3" fillId="4" borderId="0" xfId="0" applyNumberFormat="1" applyFont="1" applyFill="1" applyBorder="1"/>
    <xf numFmtId="164" fontId="3" fillId="4" borderId="13" xfId="0" applyNumberFormat="1" applyFont="1" applyFill="1" applyBorder="1"/>
    <xf numFmtId="2" fontId="3" fillId="0" borderId="0" xfId="0" applyNumberFormat="1" applyFont="1"/>
    <xf numFmtId="1" fontId="3" fillId="0" borderId="0" xfId="0" applyNumberFormat="1" applyFont="1"/>
    <xf numFmtId="164" fontId="3" fillId="6" borderId="3" xfId="0" applyNumberFormat="1" applyFont="1" applyFill="1" applyBorder="1"/>
    <xf numFmtId="164" fontId="3" fillId="6" borderId="7" xfId="0" applyNumberFormat="1" applyFont="1" applyFill="1" applyBorder="1"/>
    <xf numFmtId="0" fontId="3" fillId="6" borderId="7" xfId="0" applyFont="1" applyFill="1" applyBorder="1"/>
    <xf numFmtId="164" fontId="3" fillId="6" borderId="9" xfId="0" applyNumberFormat="1" applyFont="1" applyFill="1" applyBorder="1"/>
    <xf numFmtId="164" fontId="3" fillId="6" borderId="0" xfId="0" applyNumberFormat="1" applyFont="1" applyFill="1" applyBorder="1"/>
    <xf numFmtId="0" fontId="3" fillId="6" borderId="0" xfId="0" applyFont="1" applyFill="1" applyBorder="1"/>
    <xf numFmtId="0" fontId="3" fillId="6" borderId="9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164" fontId="3" fillId="6" borderId="0" xfId="0" applyNumberFormat="1" applyFont="1" applyFill="1" applyBorder="1" applyAlignment="1">
      <alignment horizontal="center"/>
    </xf>
    <xf numFmtId="1" fontId="3" fillId="6" borderId="0" xfId="0" applyNumberFormat="1" applyFont="1" applyFill="1" applyBorder="1"/>
    <xf numFmtId="1" fontId="3" fillId="6" borderId="10" xfId="0" applyNumberFormat="1" applyFont="1" applyFill="1" applyBorder="1"/>
    <xf numFmtId="1" fontId="3" fillId="6" borderId="7" xfId="0" applyNumberFormat="1" applyFont="1" applyFill="1" applyBorder="1"/>
    <xf numFmtId="1" fontId="3" fillId="6" borderId="8" xfId="0" applyNumberFormat="1" applyFont="1" applyFill="1" applyBorder="1"/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164" fontId="3" fillId="6" borderId="12" xfId="0" applyNumberFormat="1" applyFont="1" applyFill="1" applyBorder="1" applyAlignment="1">
      <alignment horizontal="center"/>
    </xf>
    <xf numFmtId="164" fontId="3" fillId="6" borderId="12" xfId="0" applyNumberFormat="1" applyFont="1" applyFill="1" applyBorder="1"/>
    <xf numFmtId="1" fontId="3" fillId="6" borderId="12" xfId="0" applyNumberFormat="1" applyFont="1" applyFill="1" applyBorder="1"/>
    <xf numFmtId="0" fontId="3" fillId="6" borderId="9" xfId="0" applyFont="1" applyFill="1" applyBorder="1"/>
    <xf numFmtId="0" fontId="3" fillId="6" borderId="11" xfId="0" applyFont="1" applyFill="1" applyBorder="1"/>
    <xf numFmtId="0" fontId="3" fillId="6" borderId="12" xfId="0" applyFont="1" applyFill="1" applyBorder="1"/>
    <xf numFmtId="164" fontId="3" fillId="12" borderId="9" xfId="0" applyNumberFormat="1" applyFont="1" applyFill="1" applyBorder="1"/>
    <xf numFmtId="164" fontId="3" fillId="12" borderId="0" xfId="0" applyNumberFormat="1" applyFont="1" applyFill="1" applyBorder="1"/>
    <xf numFmtId="0" fontId="3" fillId="12" borderId="0" xfId="0" applyFont="1" applyFill="1" applyBorder="1"/>
    <xf numFmtId="0" fontId="3" fillId="12" borderId="0" xfId="0" applyFont="1" applyFill="1" applyBorder="1" applyAlignment="1">
      <alignment horizontal="center"/>
    </xf>
    <xf numFmtId="164" fontId="3" fillId="12" borderId="0" xfId="0" applyNumberFormat="1" applyFont="1" applyFill="1" applyBorder="1" applyAlignment="1">
      <alignment horizontal="center"/>
    </xf>
    <xf numFmtId="0" fontId="3" fillId="12" borderId="11" xfId="0" applyFont="1" applyFill="1" applyBorder="1"/>
    <xf numFmtId="0" fontId="3" fillId="12" borderId="12" xfId="0" applyFont="1" applyFill="1" applyBorder="1"/>
    <xf numFmtId="164" fontId="3" fillId="12" borderId="12" xfId="0" applyNumberFormat="1" applyFont="1" applyFill="1" applyBorder="1"/>
    <xf numFmtId="164" fontId="3" fillId="12" borderId="3" xfId="0" applyNumberFormat="1" applyFont="1" applyFill="1" applyBorder="1"/>
    <xf numFmtId="0" fontId="3" fillId="12" borderId="7" xfId="0" applyFont="1" applyFill="1" applyBorder="1"/>
    <xf numFmtId="164" fontId="3" fillId="12" borderId="7" xfId="0" applyNumberFormat="1" applyFont="1" applyFill="1" applyBorder="1"/>
    <xf numFmtId="164" fontId="3" fillId="5" borderId="3" xfId="0" applyNumberFormat="1" applyFont="1" applyFill="1" applyBorder="1"/>
    <xf numFmtId="164" fontId="3" fillId="5" borderId="7" xfId="0" applyNumberFormat="1" applyFont="1" applyFill="1" applyBorder="1"/>
    <xf numFmtId="0" fontId="3" fillId="5" borderId="7" xfId="0" applyFont="1" applyFill="1" applyBorder="1"/>
    <xf numFmtId="1" fontId="3" fillId="5" borderId="8" xfId="0" applyNumberFormat="1" applyFont="1" applyFill="1" applyBorder="1"/>
    <xf numFmtId="164" fontId="3" fillId="5" borderId="9" xfId="0" applyNumberFormat="1" applyFont="1" applyFill="1" applyBorder="1"/>
    <xf numFmtId="164" fontId="3" fillId="5" borderId="0" xfId="0" applyNumberFormat="1" applyFont="1" applyFill="1" applyBorder="1"/>
    <xf numFmtId="0" fontId="3" fillId="5" borderId="0" xfId="0" applyFont="1" applyFill="1" applyBorder="1"/>
    <xf numFmtId="0" fontId="3" fillId="5" borderId="0" xfId="0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1" fontId="3" fillId="5" borderId="10" xfId="0" applyNumberFormat="1" applyFont="1" applyFill="1" applyBorder="1"/>
    <xf numFmtId="0" fontId="3" fillId="5" borderId="11" xfId="0" applyFont="1" applyFill="1" applyBorder="1"/>
    <xf numFmtId="0" fontId="3" fillId="5" borderId="12" xfId="0" applyFont="1" applyFill="1" applyBorder="1"/>
    <xf numFmtId="164" fontId="3" fillId="5" borderId="12" xfId="0" applyNumberFormat="1" applyFont="1" applyFill="1" applyBorder="1"/>
    <xf numFmtId="1" fontId="3" fillId="5" borderId="13" xfId="0" applyNumberFormat="1" applyFont="1" applyFill="1" applyBorder="1"/>
    <xf numFmtId="164" fontId="3" fillId="6" borderId="8" xfId="0" applyNumberFormat="1" applyFont="1" applyFill="1" applyBorder="1"/>
    <xf numFmtId="164" fontId="3" fillId="6" borderId="10" xfId="0" applyNumberFormat="1" applyFont="1" applyFill="1" applyBorder="1"/>
    <xf numFmtId="164" fontId="3" fillId="6" borderId="13" xfId="0" applyNumberFormat="1" applyFont="1" applyFill="1" applyBorder="1"/>
    <xf numFmtId="0" fontId="3" fillId="6" borderId="10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2" fillId="13" borderId="5" xfId="0" applyFont="1" applyFill="1" applyBorder="1" applyAlignment="1"/>
    <xf numFmtId="0" fontId="0" fillId="13" borderId="5" xfId="0" applyFill="1" applyBorder="1" applyAlignment="1"/>
    <xf numFmtId="0" fontId="0" fillId="13" borderId="6" xfId="0" applyFill="1" applyBorder="1" applyAlignment="1"/>
    <xf numFmtId="0" fontId="2" fillId="13" borderId="0" xfId="0" applyFont="1" applyFill="1" applyBorder="1" applyAlignment="1"/>
    <xf numFmtId="0" fontId="0" fillId="13" borderId="0" xfId="0" applyFill="1" applyBorder="1" applyAlignment="1"/>
    <xf numFmtId="0" fontId="0" fillId="13" borderId="23" xfId="0" applyFill="1" applyBorder="1" applyAlignment="1"/>
    <xf numFmtId="0" fontId="2" fillId="13" borderId="20" xfId="0" applyFont="1" applyFill="1" applyBorder="1" applyAlignment="1"/>
    <xf numFmtId="0" fontId="0" fillId="13" borderId="21" xfId="0" applyFill="1" applyBorder="1" applyAlignment="1"/>
    <xf numFmtId="0" fontId="0" fillId="13" borderId="24" xfId="0" applyFill="1" applyBorder="1" applyAlignment="1"/>
    <xf numFmtId="164" fontId="2" fillId="8" borderId="14" xfId="0" applyNumberFormat="1" applyFont="1" applyFill="1" applyBorder="1" applyProtection="1">
      <protection locked="0"/>
    </xf>
    <xf numFmtId="0" fontId="0" fillId="13" borderId="0" xfId="0" applyFill="1" applyAlignment="1"/>
    <xf numFmtId="164" fontId="4" fillId="0" borderId="14" xfId="0" applyNumberFormat="1" applyFont="1" applyFill="1" applyBorder="1" applyProtection="1">
      <protection locked="0"/>
    </xf>
    <xf numFmtId="164" fontId="3" fillId="0" borderId="0" xfId="0" applyNumberFormat="1" applyFont="1" applyAlignment="1"/>
    <xf numFmtId="0" fontId="2" fillId="13" borderId="22" xfId="0" applyFont="1" applyFill="1" applyBorder="1" applyAlignme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6" fillId="0" borderId="0" xfId="0" applyFont="1"/>
    <xf numFmtId="0" fontId="5" fillId="0" borderId="15" xfId="0" applyFont="1" applyBorder="1" applyAlignment="1">
      <alignment vertical="top"/>
    </xf>
    <xf numFmtId="0" fontId="5" fillId="0" borderId="15" xfId="0" applyFont="1" applyBorder="1" applyAlignment="1">
      <alignment wrapText="1"/>
    </xf>
    <xf numFmtId="0" fontId="3" fillId="6" borderId="9" xfId="0" applyFont="1" applyFill="1" applyBorder="1" applyAlignment="1"/>
    <xf numFmtId="0" fontId="3" fillId="6" borderId="0" xfId="0" applyFont="1" applyFill="1" applyBorder="1" applyAlignment="1"/>
    <xf numFmtId="164" fontId="3" fillId="6" borderId="11" xfId="0" applyNumberFormat="1" applyFont="1" applyFill="1" applyBorder="1" applyAlignment="1"/>
    <xf numFmtId="164" fontId="3" fillId="6" borderId="12" xfId="0" applyNumberFormat="1" applyFont="1" applyFill="1" applyBorder="1" applyAlignment="1"/>
    <xf numFmtId="164" fontId="3" fillId="6" borderId="11" xfId="0" applyNumberFormat="1" applyFont="1" applyFill="1" applyBorder="1"/>
    <xf numFmtId="164" fontId="2" fillId="10" borderId="0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/>
    <xf numFmtId="164" fontId="8" fillId="0" borderId="14" xfId="0" applyNumberFormat="1" applyFont="1" applyBorder="1" applyProtection="1">
      <protection locked="0"/>
    </xf>
    <xf numFmtId="0" fontId="2" fillId="3" borderId="25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164" fontId="4" fillId="9" borderId="14" xfId="0" applyNumberFormat="1" applyFont="1" applyFill="1" applyBorder="1" applyProtection="1">
      <protection locked="0"/>
    </xf>
    <xf numFmtId="0" fontId="4" fillId="9" borderId="14" xfId="0" applyFont="1" applyFill="1" applyBorder="1" applyProtection="1">
      <protection locked="0"/>
    </xf>
    <xf numFmtId="164" fontId="4" fillId="9" borderId="24" xfId="0" applyNumberFormat="1" applyFont="1" applyFill="1" applyBorder="1" applyProtection="1">
      <protection locked="0"/>
    </xf>
    <xf numFmtId="0" fontId="2" fillId="13" borderId="22" xfId="0" applyFont="1" applyFill="1" applyBorder="1" applyAlignment="1"/>
    <xf numFmtId="0" fontId="0" fillId="0" borderId="0" xfId="0" applyAlignment="1"/>
    <xf numFmtId="0" fontId="0" fillId="0" borderId="23" xfId="0" applyBorder="1" applyAlignment="1"/>
    <xf numFmtId="0" fontId="2" fillId="3" borderId="4" xfId="0" applyFont="1" applyFill="1" applyBorder="1" applyAlignment="1"/>
    <xf numFmtId="0" fontId="0" fillId="0" borderId="5" xfId="0" applyBorder="1" applyAlignment="1"/>
    <xf numFmtId="0" fontId="0" fillId="0" borderId="6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Horn Expansion</a:t>
            </a:r>
          </a:p>
        </c:rich>
      </c:tx>
      <c:layout>
        <c:manualLayout>
          <c:xMode val="edge"/>
          <c:yMode val="edge"/>
          <c:x val="0.4261744966442953"/>
          <c:y val="3.36129179504735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77181208053691"/>
          <c:y val="0.11484625253373526"/>
          <c:w val="0.83557046979865768"/>
          <c:h val="0.75630458985630544"/>
        </c:manualLayout>
      </c:layout>
      <c:scatterChart>
        <c:scatterStyle val="lineMarker"/>
        <c:varyColors val="0"/>
        <c:ser>
          <c:idx val="0"/>
          <c:order val="0"/>
          <c:tx>
            <c:v>Area 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Path!$N$4:$N$133</c:f>
              <c:numCache>
                <c:formatCode>0.0</c:formatCode>
                <c:ptCount val="1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13.458246147851355</c:v>
                </c:pt>
                <c:pt idx="7">
                  <c:v>13.458246147851355</c:v>
                </c:pt>
                <c:pt idx="8">
                  <c:v>13.458246147851355</c:v>
                </c:pt>
                <c:pt idx="9">
                  <c:v>26.825126465333199</c:v>
                </c:pt>
                <c:pt idx="10">
                  <c:v>26.825126465333199</c:v>
                </c:pt>
                <c:pt idx="11">
                  <c:v>26.825126465333199</c:v>
                </c:pt>
                <c:pt idx="12">
                  <c:v>38.032869625994323</c:v>
                </c:pt>
                <c:pt idx="13">
                  <c:v>38.032869625994323</c:v>
                </c:pt>
                <c:pt idx="14">
                  <c:v>38.032869625994323</c:v>
                </c:pt>
                <c:pt idx="15">
                  <c:v>44.592513337133298</c:v>
                </c:pt>
                <c:pt idx="16">
                  <c:v>44.592513337133298</c:v>
                </c:pt>
                <c:pt idx="17">
                  <c:v>44.592513337133298</c:v>
                </c:pt>
                <c:pt idx="18">
                  <c:v>49.222217124443787</c:v>
                </c:pt>
                <c:pt idx="19">
                  <c:v>49.222217124443787</c:v>
                </c:pt>
                <c:pt idx="20">
                  <c:v>49.222217124443787</c:v>
                </c:pt>
                <c:pt idx="21">
                  <c:v>51.483968067642941</c:v>
                </c:pt>
                <c:pt idx="22">
                  <c:v>51.483968067642941</c:v>
                </c:pt>
                <c:pt idx="23">
                  <c:v>51.483968067642941</c:v>
                </c:pt>
                <c:pt idx="24">
                  <c:v>52.968767187087977</c:v>
                </c:pt>
                <c:pt idx="25">
                  <c:v>52.968767187087977</c:v>
                </c:pt>
                <c:pt idx="26">
                  <c:v>52.968767187087977</c:v>
                </c:pt>
                <c:pt idx="27">
                  <c:v>73.955958982875543</c:v>
                </c:pt>
                <c:pt idx="28">
                  <c:v>73.955958982875543</c:v>
                </c:pt>
                <c:pt idx="29">
                  <c:v>73.955958982875543</c:v>
                </c:pt>
                <c:pt idx="30">
                  <c:v>77.723140711537795</c:v>
                </c:pt>
                <c:pt idx="31">
                  <c:v>77.723140711537795</c:v>
                </c:pt>
                <c:pt idx="32">
                  <c:v>77.723140711537795</c:v>
                </c:pt>
                <c:pt idx="33">
                  <c:v>82.950044040546345</c:v>
                </c:pt>
                <c:pt idx="34">
                  <c:v>82.950044040546345</c:v>
                </c:pt>
                <c:pt idx="35">
                  <c:v>82.950044040546345</c:v>
                </c:pt>
                <c:pt idx="36">
                  <c:v>86.845192807515417</c:v>
                </c:pt>
                <c:pt idx="37">
                  <c:v>86.845192807515417</c:v>
                </c:pt>
                <c:pt idx="38">
                  <c:v>86.845192807515417</c:v>
                </c:pt>
                <c:pt idx="39">
                  <c:v>88.640808097983111</c:v>
                </c:pt>
                <c:pt idx="40">
                  <c:v>88.640808097983111</c:v>
                </c:pt>
                <c:pt idx="41">
                  <c:v>88.640808097983111</c:v>
                </c:pt>
                <c:pt idx="42">
                  <c:v>92.502641436735871</c:v>
                </c:pt>
                <c:pt idx="43">
                  <c:v>92.502641436735871</c:v>
                </c:pt>
                <c:pt idx="44">
                  <c:v>92.502641436735871</c:v>
                </c:pt>
                <c:pt idx="45">
                  <c:v>97.98663233402803</c:v>
                </c:pt>
                <c:pt idx="46">
                  <c:v>97.98663233402803</c:v>
                </c:pt>
                <c:pt idx="47">
                  <c:v>97.98663233402803</c:v>
                </c:pt>
                <c:pt idx="48">
                  <c:v>102.15930487398168</c:v>
                </c:pt>
                <c:pt idx="49">
                  <c:v>102.15930487398168</c:v>
                </c:pt>
                <c:pt idx="50">
                  <c:v>102.15930487398168</c:v>
                </c:pt>
                <c:pt idx="51">
                  <c:v>115.11011014465514</c:v>
                </c:pt>
                <c:pt idx="52">
                  <c:v>115.11011014465514</c:v>
                </c:pt>
                <c:pt idx="53">
                  <c:v>115.11011014465514</c:v>
                </c:pt>
                <c:pt idx="54">
                  <c:v>117.00400183135253</c:v>
                </c:pt>
                <c:pt idx="55">
                  <c:v>117.00400183135253</c:v>
                </c:pt>
                <c:pt idx="56">
                  <c:v>117.00400183135253</c:v>
                </c:pt>
                <c:pt idx="57">
                  <c:v>120.04005638742048</c:v>
                </c:pt>
                <c:pt idx="58">
                  <c:v>120.04005638742048</c:v>
                </c:pt>
                <c:pt idx="59">
                  <c:v>120.04005638742048</c:v>
                </c:pt>
                <c:pt idx="60">
                  <c:v>124.4591795965577</c:v>
                </c:pt>
                <c:pt idx="61">
                  <c:v>124.4591795965577</c:v>
                </c:pt>
                <c:pt idx="62">
                  <c:v>124.4591795965577</c:v>
                </c:pt>
                <c:pt idx="63">
                  <c:v>129.5591795965577</c:v>
                </c:pt>
                <c:pt idx="64">
                  <c:v>129.5591795965577</c:v>
                </c:pt>
                <c:pt idx="65">
                  <c:v>129.5591795965577</c:v>
                </c:pt>
                <c:pt idx="66">
                  <c:v>132.75264354602351</c:v>
                </c:pt>
                <c:pt idx="67">
                  <c:v>132.75264354602351</c:v>
                </c:pt>
                <c:pt idx="68">
                  <c:v>132.75264354602351</c:v>
                </c:pt>
                <c:pt idx="69">
                  <c:v>136.39034751087979</c:v>
                </c:pt>
                <c:pt idx="70">
                  <c:v>136.39034751087979</c:v>
                </c:pt>
                <c:pt idx="71">
                  <c:v>136.39034751087979</c:v>
                </c:pt>
                <c:pt idx="72">
                  <c:v>142.21869900319297</c:v>
                </c:pt>
                <c:pt idx="73">
                  <c:v>142.21869900319297</c:v>
                </c:pt>
                <c:pt idx="74">
                  <c:v>142.21869900319297</c:v>
                </c:pt>
                <c:pt idx="75">
                  <c:v>147.42768686213654</c:v>
                </c:pt>
                <c:pt idx="76">
                  <c:v>147.42768686213654</c:v>
                </c:pt>
                <c:pt idx="77">
                  <c:v>147.42768686213654</c:v>
                </c:pt>
                <c:pt idx="78">
                  <c:v>155.4552065726302</c:v>
                </c:pt>
                <c:pt idx="79">
                  <c:v>155.4552065726302</c:v>
                </c:pt>
                <c:pt idx="80">
                  <c:v>155.4552065726302</c:v>
                </c:pt>
                <c:pt idx="81">
                  <c:v>160.58001233198883</c:v>
                </c:pt>
                <c:pt idx="82">
                  <c:v>160.58001233198883</c:v>
                </c:pt>
                <c:pt idx="83">
                  <c:v>160.58001233198883</c:v>
                </c:pt>
                <c:pt idx="84">
                  <c:v>167.77677473293693</c:v>
                </c:pt>
                <c:pt idx="85">
                  <c:v>167.77677473293693</c:v>
                </c:pt>
                <c:pt idx="86">
                  <c:v>167.77677473293693</c:v>
                </c:pt>
                <c:pt idx="87">
                  <c:v>172.82947252565572</c:v>
                </c:pt>
                <c:pt idx="88">
                  <c:v>172.82947252565572</c:v>
                </c:pt>
                <c:pt idx="89">
                  <c:v>172.82947252565572</c:v>
                </c:pt>
                <c:pt idx="90">
                  <c:v>174.62618499667633</c:v>
                </c:pt>
                <c:pt idx="91">
                  <c:v>174.62618499667633</c:v>
                </c:pt>
                <c:pt idx="92">
                  <c:v>174.62618499667633</c:v>
                </c:pt>
                <c:pt idx="93">
                  <c:v>180.02458338134062</c:v>
                </c:pt>
                <c:pt idx="94">
                  <c:v>180.02458338134062</c:v>
                </c:pt>
                <c:pt idx="95">
                  <c:v>180.02458338134062</c:v>
                </c:pt>
                <c:pt idx="96">
                  <c:v>187.60810997974357</c:v>
                </c:pt>
                <c:pt idx="97">
                  <c:v>187.60810997974357</c:v>
                </c:pt>
                <c:pt idx="98">
                  <c:v>187.60810997974357</c:v>
                </c:pt>
                <c:pt idx="99">
                  <c:v>193.32389433919923</c:v>
                </c:pt>
                <c:pt idx="100">
                  <c:v>193.32389433919923</c:v>
                </c:pt>
                <c:pt idx="101">
                  <c:v>193.32389433919923</c:v>
                </c:pt>
                <c:pt idx="102">
                  <c:v>236.79736305904493</c:v>
                </c:pt>
                <c:pt idx="103">
                  <c:v>236.79736305904493</c:v>
                </c:pt>
                <c:pt idx="104">
                  <c:v>236.79736305904493</c:v>
                </c:pt>
                <c:pt idx="105">
                  <c:v>244.90144502749442</c:v>
                </c:pt>
                <c:pt idx="106">
                  <c:v>244.90144502749442</c:v>
                </c:pt>
                <c:pt idx="107">
                  <c:v>244.90144502749442</c:v>
                </c:pt>
                <c:pt idx="108">
                  <c:v>255.19194286458801</c:v>
                </c:pt>
                <c:pt idx="109">
                  <c:v>255.19194286458801</c:v>
                </c:pt>
                <c:pt idx="110">
                  <c:v>255.19194286458801</c:v>
                </c:pt>
                <c:pt idx="111">
                  <c:v>262.11483006836966</c:v>
                </c:pt>
                <c:pt idx="112">
                  <c:v>262.11483006836966</c:v>
                </c:pt>
                <c:pt idx="113">
                  <c:v>262.11483006836966</c:v>
                </c:pt>
                <c:pt idx="114">
                  <c:v>263.9137322222943</c:v>
                </c:pt>
                <c:pt idx="115">
                  <c:v>263.9137322222943</c:v>
                </c:pt>
                <c:pt idx="116">
                  <c:v>263.9137322222943</c:v>
                </c:pt>
                <c:pt idx="117">
                  <c:v>266.26285237378926</c:v>
                </c:pt>
                <c:pt idx="118">
                  <c:v>266.26285237378926</c:v>
                </c:pt>
                <c:pt idx="119">
                  <c:v>266.26285237378926</c:v>
                </c:pt>
                <c:pt idx="120">
                  <c:v>293.5985248531307</c:v>
                </c:pt>
                <c:pt idx="121">
                  <c:v>293.5985248531307</c:v>
                </c:pt>
                <c:pt idx="122">
                  <c:v>293.5985248531307</c:v>
                </c:pt>
                <c:pt idx="123">
                  <c:v>316.15278153534501</c:v>
                </c:pt>
                <c:pt idx="124">
                  <c:v>316.15278153534501</c:v>
                </c:pt>
                <c:pt idx="125">
                  <c:v>316.15278153534501</c:v>
                </c:pt>
                <c:pt idx="126">
                  <c:v>316.64520581289304</c:v>
                </c:pt>
              </c:numCache>
            </c:numRef>
          </c:xVal>
          <c:yVal>
            <c:numRef>
              <c:f>Path!$P$4:$P$133</c:f>
              <c:numCache>
                <c:formatCode>0</c:formatCode>
                <c:ptCount val="130"/>
                <c:pt idx="1">
                  <c:v>246.31177465608911</c:v>
                </c:pt>
                <c:pt idx="2">
                  <c:v>246.31177465608911</c:v>
                </c:pt>
                <c:pt idx="3">
                  <c:v>246.31177465608911</c:v>
                </c:pt>
                <c:pt idx="4">
                  <c:v>246.31177465608911</c:v>
                </c:pt>
                <c:pt idx="5">
                  <c:v>246.31177465608911</c:v>
                </c:pt>
                <c:pt idx="6">
                  <c:v>269.49387959013654</c:v>
                </c:pt>
                <c:pt idx="7">
                  <c:v>269.49387959013654</c:v>
                </c:pt>
                <c:pt idx="8">
                  <c:v>269.49387959013654</c:v>
                </c:pt>
                <c:pt idx="9">
                  <c:v>295.76847533886098</c:v>
                </c:pt>
                <c:pt idx="10">
                  <c:v>295.76847533886098</c:v>
                </c:pt>
                <c:pt idx="11">
                  <c:v>295.76847533886098</c:v>
                </c:pt>
                <c:pt idx="12">
                  <c:v>339.30830887948252</c:v>
                </c:pt>
                <c:pt idx="13">
                  <c:v>339.30830887948252</c:v>
                </c:pt>
                <c:pt idx="14">
                  <c:v>339.30830887948252</c:v>
                </c:pt>
                <c:pt idx="15">
                  <c:v>376.07817664571309</c:v>
                </c:pt>
                <c:pt idx="16">
                  <c:v>376.07817664571309</c:v>
                </c:pt>
                <c:pt idx="17">
                  <c:v>376.07817664571309</c:v>
                </c:pt>
                <c:pt idx="18">
                  <c:v>365.79810220711772</c:v>
                </c:pt>
                <c:pt idx="19">
                  <c:v>365.79810220711772</c:v>
                </c:pt>
                <c:pt idx="20">
                  <c:v>365.79810220711772</c:v>
                </c:pt>
                <c:pt idx="21">
                  <c:v>349.37963500551876</c:v>
                </c:pt>
                <c:pt idx="22">
                  <c:v>349.37963500551876</c:v>
                </c:pt>
                <c:pt idx="23">
                  <c:v>349.37963500551876</c:v>
                </c:pt>
                <c:pt idx="24">
                  <c:v>349.37963500551876</c:v>
                </c:pt>
                <c:pt idx="25">
                  <c:v>349.37963500551876</c:v>
                </c:pt>
                <c:pt idx="26">
                  <c:v>349.37963500551876</c:v>
                </c:pt>
                <c:pt idx="27">
                  <c:v>388.66247935650256</c:v>
                </c:pt>
                <c:pt idx="28">
                  <c:v>388.66247935650256</c:v>
                </c:pt>
                <c:pt idx="29">
                  <c:v>388.66247935650256</c:v>
                </c:pt>
                <c:pt idx="30">
                  <c:v>444.19029482407677</c:v>
                </c:pt>
                <c:pt idx="31">
                  <c:v>444.19029482407677</c:v>
                </c:pt>
                <c:pt idx="32">
                  <c:v>444.19029482407677</c:v>
                </c:pt>
                <c:pt idx="33">
                  <c:v>460.36895511034686</c:v>
                </c:pt>
                <c:pt idx="34">
                  <c:v>460.36895511034686</c:v>
                </c:pt>
                <c:pt idx="35">
                  <c:v>460.36895511034686</c:v>
                </c:pt>
                <c:pt idx="36">
                  <c:v>417.65186602076363</c:v>
                </c:pt>
                <c:pt idx="37">
                  <c:v>417.65186602076363</c:v>
                </c:pt>
                <c:pt idx="38">
                  <c:v>417.65186602076363</c:v>
                </c:pt>
                <c:pt idx="39">
                  <c:v>417.65186602076363</c:v>
                </c:pt>
                <c:pt idx="40">
                  <c:v>417.65186602076363</c:v>
                </c:pt>
                <c:pt idx="41">
                  <c:v>417.65186602076363</c:v>
                </c:pt>
                <c:pt idx="42">
                  <c:v>472.55715731118272</c:v>
                </c:pt>
                <c:pt idx="43">
                  <c:v>472.55715731118272</c:v>
                </c:pt>
                <c:pt idx="44">
                  <c:v>472.55715731118272</c:v>
                </c:pt>
                <c:pt idx="45">
                  <c:v>476.67079034603455</c:v>
                </c:pt>
                <c:pt idx="46">
                  <c:v>476.67079034603455</c:v>
                </c:pt>
                <c:pt idx="47">
                  <c:v>476.67079034603455</c:v>
                </c:pt>
                <c:pt idx="48">
                  <c:v>428.8164109303284</c:v>
                </c:pt>
                <c:pt idx="49">
                  <c:v>428.8164109303284</c:v>
                </c:pt>
                <c:pt idx="50">
                  <c:v>428.8164109303284</c:v>
                </c:pt>
                <c:pt idx="51">
                  <c:v>453.92932411272068</c:v>
                </c:pt>
                <c:pt idx="52">
                  <c:v>453.92932411272068</c:v>
                </c:pt>
                <c:pt idx="53">
                  <c:v>453.92932411272068</c:v>
                </c:pt>
                <c:pt idx="54">
                  <c:v>475.38804030488376</c:v>
                </c:pt>
                <c:pt idx="55">
                  <c:v>475.38804030488376</c:v>
                </c:pt>
                <c:pt idx="56">
                  <c:v>475.38804030488376</c:v>
                </c:pt>
                <c:pt idx="57">
                  <c:v>508.238826473693</c:v>
                </c:pt>
                <c:pt idx="58">
                  <c:v>508.238826473693</c:v>
                </c:pt>
                <c:pt idx="59">
                  <c:v>508.238826473693</c:v>
                </c:pt>
                <c:pt idx="60">
                  <c:v>482.66582856860003</c:v>
                </c:pt>
                <c:pt idx="61">
                  <c:v>482.66582856860003</c:v>
                </c:pt>
                <c:pt idx="62">
                  <c:v>482.66582856860003</c:v>
                </c:pt>
                <c:pt idx="63">
                  <c:v>489.22309161064271</c:v>
                </c:pt>
                <c:pt idx="64">
                  <c:v>489.22309161064271</c:v>
                </c:pt>
                <c:pt idx="65">
                  <c:v>489.22309161064271</c:v>
                </c:pt>
                <c:pt idx="66">
                  <c:v>540.72394256518112</c:v>
                </c:pt>
                <c:pt idx="67">
                  <c:v>540.72394256518112</c:v>
                </c:pt>
                <c:pt idx="68">
                  <c:v>540.72394256518112</c:v>
                </c:pt>
                <c:pt idx="69">
                  <c:v>623.70771434456401</c:v>
                </c:pt>
                <c:pt idx="70">
                  <c:v>623.70771434456401</c:v>
                </c:pt>
                <c:pt idx="71">
                  <c:v>623.70771434456401</c:v>
                </c:pt>
                <c:pt idx="72">
                  <c:v>571.13621127051078</c:v>
                </c:pt>
                <c:pt idx="73">
                  <c:v>571.13621127051078</c:v>
                </c:pt>
                <c:pt idx="74">
                  <c:v>571.13621127051078</c:v>
                </c:pt>
                <c:pt idx="75">
                  <c:v>507.13551397185904</c:v>
                </c:pt>
                <c:pt idx="76">
                  <c:v>507.13551397185904</c:v>
                </c:pt>
                <c:pt idx="77">
                  <c:v>507.13551397185904</c:v>
                </c:pt>
                <c:pt idx="78">
                  <c:v>522.15825553889113</c:v>
                </c:pt>
                <c:pt idx="79">
                  <c:v>522.15825553889113</c:v>
                </c:pt>
                <c:pt idx="80">
                  <c:v>522.15825553889113</c:v>
                </c:pt>
                <c:pt idx="81">
                  <c:v>598.42200211940872</c:v>
                </c:pt>
                <c:pt idx="82">
                  <c:v>598.42200211940872</c:v>
                </c:pt>
                <c:pt idx="83">
                  <c:v>598.42200211940872</c:v>
                </c:pt>
                <c:pt idx="84">
                  <c:v>620.61962915845675</c:v>
                </c:pt>
                <c:pt idx="85">
                  <c:v>620.61962915845675</c:v>
                </c:pt>
                <c:pt idx="86">
                  <c:v>620.61962915845675</c:v>
                </c:pt>
                <c:pt idx="87">
                  <c:v>567.93670092576565</c:v>
                </c:pt>
                <c:pt idx="88">
                  <c:v>567.93670092576565</c:v>
                </c:pt>
                <c:pt idx="89">
                  <c:v>567.93670092576565</c:v>
                </c:pt>
                <c:pt idx="90">
                  <c:v>571.29971787058435</c:v>
                </c:pt>
                <c:pt idx="91">
                  <c:v>571.29971787058435</c:v>
                </c:pt>
                <c:pt idx="92">
                  <c:v>571.29971787058435</c:v>
                </c:pt>
                <c:pt idx="93">
                  <c:v>649.2862399769059</c:v>
                </c:pt>
                <c:pt idx="94">
                  <c:v>649.2862399769059</c:v>
                </c:pt>
                <c:pt idx="95">
                  <c:v>649.2862399769059</c:v>
                </c:pt>
                <c:pt idx="96">
                  <c:v>663.11408408027773</c:v>
                </c:pt>
                <c:pt idx="97">
                  <c:v>663.11408408027773</c:v>
                </c:pt>
                <c:pt idx="98">
                  <c:v>663.11408408027773</c:v>
                </c:pt>
                <c:pt idx="99">
                  <c:v>598.88133069839091</c:v>
                </c:pt>
                <c:pt idx="100">
                  <c:v>598.88133069839091</c:v>
                </c:pt>
                <c:pt idx="101">
                  <c:v>598.88133069839091</c:v>
                </c:pt>
                <c:pt idx="102">
                  <c:v>680.25293685400027</c:v>
                </c:pt>
                <c:pt idx="103">
                  <c:v>680.25293685400027</c:v>
                </c:pt>
                <c:pt idx="104">
                  <c:v>680.25293685400027</c:v>
                </c:pt>
                <c:pt idx="105">
                  <c:v>819.7811733532867</c:v>
                </c:pt>
                <c:pt idx="106">
                  <c:v>819.7811733532867</c:v>
                </c:pt>
                <c:pt idx="107">
                  <c:v>819.7811733532867</c:v>
                </c:pt>
                <c:pt idx="108">
                  <c:v>955.02476876322771</c:v>
                </c:pt>
                <c:pt idx="109">
                  <c:v>955.02476876322771</c:v>
                </c:pt>
                <c:pt idx="110">
                  <c:v>955.02476876322771</c:v>
                </c:pt>
                <c:pt idx="111">
                  <c:v>893.02697360081982</c:v>
                </c:pt>
                <c:pt idx="112">
                  <c:v>893.02697360081982</c:v>
                </c:pt>
                <c:pt idx="113">
                  <c:v>893.02697360081982</c:v>
                </c:pt>
                <c:pt idx="114">
                  <c:v>896.39407454518994</c:v>
                </c:pt>
                <c:pt idx="115">
                  <c:v>896.39407454518994</c:v>
                </c:pt>
                <c:pt idx="116">
                  <c:v>896.39407454518994</c:v>
                </c:pt>
                <c:pt idx="117">
                  <c:v>906.96419110547504</c:v>
                </c:pt>
                <c:pt idx="118">
                  <c:v>906.96419110547504</c:v>
                </c:pt>
                <c:pt idx="119">
                  <c:v>906.96419110547504</c:v>
                </c:pt>
                <c:pt idx="120">
                  <c:v>1103.7642217867776</c:v>
                </c:pt>
                <c:pt idx="121">
                  <c:v>1103.7642217867776</c:v>
                </c:pt>
                <c:pt idx="122">
                  <c:v>1103.7642217867776</c:v>
                </c:pt>
                <c:pt idx="123">
                  <c:v>1277.4814868044957</c:v>
                </c:pt>
                <c:pt idx="124">
                  <c:v>1277.4814868044957</c:v>
                </c:pt>
                <c:pt idx="125">
                  <c:v>1277.4814868044957</c:v>
                </c:pt>
                <c:pt idx="126">
                  <c:v>1284.6984126984125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A7-4853-8043-3C12ABE7DA07}"/>
            </c:ext>
          </c:extLst>
        </c:ser>
        <c:ser>
          <c:idx val="1"/>
          <c:order val="1"/>
          <c:tx>
            <c:v>Area 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Path!$N$4:$N$133</c:f>
              <c:numCache>
                <c:formatCode>0.0</c:formatCode>
                <c:ptCount val="1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13.458246147851355</c:v>
                </c:pt>
                <c:pt idx="7">
                  <c:v>13.458246147851355</c:v>
                </c:pt>
                <c:pt idx="8">
                  <c:v>13.458246147851355</c:v>
                </c:pt>
                <c:pt idx="9">
                  <c:v>26.825126465333199</c:v>
                </c:pt>
                <c:pt idx="10">
                  <c:v>26.825126465333199</c:v>
                </c:pt>
                <c:pt idx="11">
                  <c:v>26.825126465333199</c:v>
                </c:pt>
                <c:pt idx="12">
                  <c:v>38.032869625994323</c:v>
                </c:pt>
                <c:pt idx="13">
                  <c:v>38.032869625994323</c:v>
                </c:pt>
                <c:pt idx="14">
                  <c:v>38.032869625994323</c:v>
                </c:pt>
                <c:pt idx="15">
                  <c:v>44.592513337133298</c:v>
                </c:pt>
                <c:pt idx="16">
                  <c:v>44.592513337133298</c:v>
                </c:pt>
                <c:pt idx="17">
                  <c:v>44.592513337133298</c:v>
                </c:pt>
                <c:pt idx="18">
                  <c:v>49.222217124443787</c:v>
                </c:pt>
                <c:pt idx="19">
                  <c:v>49.222217124443787</c:v>
                </c:pt>
                <c:pt idx="20">
                  <c:v>49.222217124443787</c:v>
                </c:pt>
                <c:pt idx="21">
                  <c:v>51.483968067642941</c:v>
                </c:pt>
                <c:pt idx="22">
                  <c:v>51.483968067642941</c:v>
                </c:pt>
                <c:pt idx="23">
                  <c:v>51.483968067642941</c:v>
                </c:pt>
                <c:pt idx="24">
                  <c:v>52.968767187087977</c:v>
                </c:pt>
                <c:pt idx="25">
                  <c:v>52.968767187087977</c:v>
                </c:pt>
                <c:pt idx="26">
                  <c:v>52.968767187087977</c:v>
                </c:pt>
                <c:pt idx="27">
                  <c:v>73.955958982875543</c:v>
                </c:pt>
                <c:pt idx="28">
                  <c:v>73.955958982875543</c:v>
                </c:pt>
                <c:pt idx="29">
                  <c:v>73.955958982875543</c:v>
                </c:pt>
                <c:pt idx="30">
                  <c:v>77.723140711537795</c:v>
                </c:pt>
                <c:pt idx="31">
                  <c:v>77.723140711537795</c:v>
                </c:pt>
                <c:pt idx="32">
                  <c:v>77.723140711537795</c:v>
                </c:pt>
                <c:pt idx="33">
                  <c:v>82.950044040546345</c:v>
                </c:pt>
                <c:pt idx="34">
                  <c:v>82.950044040546345</c:v>
                </c:pt>
                <c:pt idx="35">
                  <c:v>82.950044040546345</c:v>
                </c:pt>
                <c:pt idx="36">
                  <c:v>86.845192807515417</c:v>
                </c:pt>
                <c:pt idx="37">
                  <c:v>86.845192807515417</c:v>
                </c:pt>
                <c:pt idx="38">
                  <c:v>86.845192807515417</c:v>
                </c:pt>
                <c:pt idx="39">
                  <c:v>88.640808097983111</c:v>
                </c:pt>
                <c:pt idx="40">
                  <c:v>88.640808097983111</c:v>
                </c:pt>
                <c:pt idx="41">
                  <c:v>88.640808097983111</c:v>
                </c:pt>
                <c:pt idx="42">
                  <c:v>92.502641436735871</c:v>
                </c:pt>
                <c:pt idx="43">
                  <c:v>92.502641436735871</c:v>
                </c:pt>
                <c:pt idx="44">
                  <c:v>92.502641436735871</c:v>
                </c:pt>
                <c:pt idx="45">
                  <c:v>97.98663233402803</c:v>
                </c:pt>
                <c:pt idx="46">
                  <c:v>97.98663233402803</c:v>
                </c:pt>
                <c:pt idx="47">
                  <c:v>97.98663233402803</c:v>
                </c:pt>
                <c:pt idx="48">
                  <c:v>102.15930487398168</c:v>
                </c:pt>
                <c:pt idx="49">
                  <c:v>102.15930487398168</c:v>
                </c:pt>
                <c:pt idx="50">
                  <c:v>102.15930487398168</c:v>
                </c:pt>
                <c:pt idx="51">
                  <c:v>115.11011014465514</c:v>
                </c:pt>
                <c:pt idx="52">
                  <c:v>115.11011014465514</c:v>
                </c:pt>
                <c:pt idx="53">
                  <c:v>115.11011014465514</c:v>
                </c:pt>
                <c:pt idx="54">
                  <c:v>117.00400183135253</c:v>
                </c:pt>
                <c:pt idx="55">
                  <c:v>117.00400183135253</c:v>
                </c:pt>
                <c:pt idx="56">
                  <c:v>117.00400183135253</c:v>
                </c:pt>
                <c:pt idx="57">
                  <c:v>120.04005638742048</c:v>
                </c:pt>
                <c:pt idx="58">
                  <c:v>120.04005638742048</c:v>
                </c:pt>
                <c:pt idx="59">
                  <c:v>120.04005638742048</c:v>
                </c:pt>
                <c:pt idx="60">
                  <c:v>124.4591795965577</c:v>
                </c:pt>
                <c:pt idx="61">
                  <c:v>124.4591795965577</c:v>
                </c:pt>
                <c:pt idx="62">
                  <c:v>124.4591795965577</c:v>
                </c:pt>
                <c:pt idx="63">
                  <c:v>129.5591795965577</c:v>
                </c:pt>
                <c:pt idx="64">
                  <c:v>129.5591795965577</c:v>
                </c:pt>
                <c:pt idx="65">
                  <c:v>129.5591795965577</c:v>
                </c:pt>
                <c:pt idx="66">
                  <c:v>132.75264354602351</c:v>
                </c:pt>
                <c:pt idx="67">
                  <c:v>132.75264354602351</c:v>
                </c:pt>
                <c:pt idx="68">
                  <c:v>132.75264354602351</c:v>
                </c:pt>
                <c:pt idx="69">
                  <c:v>136.39034751087979</c:v>
                </c:pt>
                <c:pt idx="70">
                  <c:v>136.39034751087979</c:v>
                </c:pt>
                <c:pt idx="71">
                  <c:v>136.39034751087979</c:v>
                </c:pt>
                <c:pt idx="72">
                  <c:v>142.21869900319297</c:v>
                </c:pt>
                <c:pt idx="73">
                  <c:v>142.21869900319297</c:v>
                </c:pt>
                <c:pt idx="74">
                  <c:v>142.21869900319297</c:v>
                </c:pt>
                <c:pt idx="75">
                  <c:v>147.42768686213654</c:v>
                </c:pt>
                <c:pt idx="76">
                  <c:v>147.42768686213654</c:v>
                </c:pt>
                <c:pt idx="77">
                  <c:v>147.42768686213654</c:v>
                </c:pt>
                <c:pt idx="78">
                  <c:v>155.4552065726302</c:v>
                </c:pt>
                <c:pt idx="79">
                  <c:v>155.4552065726302</c:v>
                </c:pt>
                <c:pt idx="80">
                  <c:v>155.4552065726302</c:v>
                </c:pt>
                <c:pt idx="81">
                  <c:v>160.58001233198883</c:v>
                </c:pt>
                <c:pt idx="82">
                  <c:v>160.58001233198883</c:v>
                </c:pt>
                <c:pt idx="83">
                  <c:v>160.58001233198883</c:v>
                </c:pt>
                <c:pt idx="84">
                  <c:v>167.77677473293693</c:v>
                </c:pt>
                <c:pt idx="85">
                  <c:v>167.77677473293693</c:v>
                </c:pt>
                <c:pt idx="86">
                  <c:v>167.77677473293693</c:v>
                </c:pt>
                <c:pt idx="87">
                  <c:v>172.82947252565572</c:v>
                </c:pt>
                <c:pt idx="88">
                  <c:v>172.82947252565572</c:v>
                </c:pt>
                <c:pt idx="89">
                  <c:v>172.82947252565572</c:v>
                </c:pt>
                <c:pt idx="90">
                  <c:v>174.62618499667633</c:v>
                </c:pt>
                <c:pt idx="91">
                  <c:v>174.62618499667633</c:v>
                </c:pt>
                <c:pt idx="92">
                  <c:v>174.62618499667633</c:v>
                </c:pt>
                <c:pt idx="93">
                  <c:v>180.02458338134062</c:v>
                </c:pt>
                <c:pt idx="94">
                  <c:v>180.02458338134062</c:v>
                </c:pt>
                <c:pt idx="95">
                  <c:v>180.02458338134062</c:v>
                </c:pt>
                <c:pt idx="96">
                  <c:v>187.60810997974357</c:v>
                </c:pt>
                <c:pt idx="97">
                  <c:v>187.60810997974357</c:v>
                </c:pt>
                <c:pt idx="98">
                  <c:v>187.60810997974357</c:v>
                </c:pt>
                <c:pt idx="99">
                  <c:v>193.32389433919923</c:v>
                </c:pt>
                <c:pt idx="100">
                  <c:v>193.32389433919923</c:v>
                </c:pt>
                <c:pt idx="101">
                  <c:v>193.32389433919923</c:v>
                </c:pt>
                <c:pt idx="102">
                  <c:v>236.79736305904493</c:v>
                </c:pt>
                <c:pt idx="103">
                  <c:v>236.79736305904493</c:v>
                </c:pt>
                <c:pt idx="104">
                  <c:v>236.79736305904493</c:v>
                </c:pt>
                <c:pt idx="105">
                  <c:v>244.90144502749442</c:v>
                </c:pt>
                <c:pt idx="106">
                  <c:v>244.90144502749442</c:v>
                </c:pt>
                <c:pt idx="107">
                  <c:v>244.90144502749442</c:v>
                </c:pt>
                <c:pt idx="108">
                  <c:v>255.19194286458801</c:v>
                </c:pt>
                <c:pt idx="109">
                  <c:v>255.19194286458801</c:v>
                </c:pt>
                <c:pt idx="110">
                  <c:v>255.19194286458801</c:v>
                </c:pt>
                <c:pt idx="111">
                  <c:v>262.11483006836966</c:v>
                </c:pt>
                <c:pt idx="112">
                  <c:v>262.11483006836966</c:v>
                </c:pt>
                <c:pt idx="113">
                  <c:v>262.11483006836966</c:v>
                </c:pt>
                <c:pt idx="114">
                  <c:v>263.9137322222943</c:v>
                </c:pt>
                <c:pt idx="115">
                  <c:v>263.9137322222943</c:v>
                </c:pt>
                <c:pt idx="116">
                  <c:v>263.9137322222943</c:v>
                </c:pt>
                <c:pt idx="117">
                  <c:v>266.26285237378926</c:v>
                </c:pt>
                <c:pt idx="118">
                  <c:v>266.26285237378926</c:v>
                </c:pt>
                <c:pt idx="119">
                  <c:v>266.26285237378926</c:v>
                </c:pt>
                <c:pt idx="120">
                  <c:v>293.5985248531307</c:v>
                </c:pt>
                <c:pt idx="121">
                  <c:v>293.5985248531307</c:v>
                </c:pt>
                <c:pt idx="122">
                  <c:v>293.5985248531307</c:v>
                </c:pt>
                <c:pt idx="123">
                  <c:v>316.15278153534501</c:v>
                </c:pt>
                <c:pt idx="124">
                  <c:v>316.15278153534501</c:v>
                </c:pt>
                <c:pt idx="125">
                  <c:v>316.15278153534501</c:v>
                </c:pt>
                <c:pt idx="126">
                  <c:v>316.64520581289304</c:v>
                </c:pt>
              </c:numCache>
            </c:numRef>
          </c:xVal>
          <c:yVal>
            <c:numRef>
              <c:f>Path!$Q$4:$Q$133</c:f>
              <c:numCache>
                <c:formatCode>0</c:formatCode>
                <c:ptCount val="130"/>
                <c:pt idx="1">
                  <c:v>-246.31177465608911</c:v>
                </c:pt>
                <c:pt idx="2">
                  <c:v>-246.31177465608911</c:v>
                </c:pt>
                <c:pt idx="3">
                  <c:v>-246.31177465608911</c:v>
                </c:pt>
                <c:pt idx="4">
                  <c:v>-246.31177465608911</c:v>
                </c:pt>
                <c:pt idx="5">
                  <c:v>-246.31177465608911</c:v>
                </c:pt>
                <c:pt idx="6">
                  <c:v>-269.49387959013654</c:v>
                </c:pt>
                <c:pt idx="7">
                  <c:v>-269.49387959013654</c:v>
                </c:pt>
                <c:pt idx="8">
                  <c:v>-269.49387959013654</c:v>
                </c:pt>
                <c:pt idx="9">
                  <c:v>-295.76847533886098</c:v>
                </c:pt>
                <c:pt idx="10">
                  <c:v>-295.76847533886098</c:v>
                </c:pt>
                <c:pt idx="11">
                  <c:v>-295.76847533886098</c:v>
                </c:pt>
                <c:pt idx="12">
                  <c:v>-339.30830887948252</c:v>
                </c:pt>
                <c:pt idx="13">
                  <c:v>-339.30830887948252</c:v>
                </c:pt>
                <c:pt idx="14">
                  <c:v>-339.30830887948252</c:v>
                </c:pt>
                <c:pt idx="15">
                  <c:v>-376.07817664571309</c:v>
                </c:pt>
                <c:pt idx="16">
                  <c:v>-376.07817664571309</c:v>
                </c:pt>
                <c:pt idx="17">
                  <c:v>-376.07817664571309</c:v>
                </c:pt>
                <c:pt idx="18">
                  <c:v>-365.79810220711772</c:v>
                </c:pt>
                <c:pt idx="19">
                  <c:v>-365.79810220711772</c:v>
                </c:pt>
                <c:pt idx="20">
                  <c:v>-365.79810220711772</c:v>
                </c:pt>
                <c:pt idx="21">
                  <c:v>-349.37963500551876</c:v>
                </c:pt>
                <c:pt idx="22">
                  <c:v>-349.37963500551876</c:v>
                </c:pt>
                <c:pt idx="23">
                  <c:v>-349.37963500551876</c:v>
                </c:pt>
                <c:pt idx="24">
                  <c:v>-349.37963500551876</c:v>
                </c:pt>
                <c:pt idx="25">
                  <c:v>-349.37963500551876</c:v>
                </c:pt>
                <c:pt idx="26">
                  <c:v>-349.37963500551876</c:v>
                </c:pt>
                <c:pt idx="27">
                  <c:v>-388.66247935650256</c:v>
                </c:pt>
                <c:pt idx="28">
                  <c:v>-388.66247935650256</c:v>
                </c:pt>
                <c:pt idx="29">
                  <c:v>-388.66247935650256</c:v>
                </c:pt>
                <c:pt idx="30">
                  <c:v>-444.19029482407677</c:v>
                </c:pt>
                <c:pt idx="31">
                  <c:v>-444.19029482407677</c:v>
                </c:pt>
                <c:pt idx="32">
                  <c:v>-444.19029482407677</c:v>
                </c:pt>
                <c:pt idx="33">
                  <c:v>-460.36895511034686</c:v>
                </c:pt>
                <c:pt idx="34">
                  <c:v>-460.36895511034686</c:v>
                </c:pt>
                <c:pt idx="35">
                  <c:v>-460.36895511034686</c:v>
                </c:pt>
                <c:pt idx="36">
                  <c:v>-417.65186602076363</c:v>
                </c:pt>
                <c:pt idx="37">
                  <c:v>-417.65186602076363</c:v>
                </c:pt>
                <c:pt idx="38">
                  <c:v>-417.65186602076363</c:v>
                </c:pt>
                <c:pt idx="39">
                  <c:v>-417.65186602076363</c:v>
                </c:pt>
                <c:pt idx="40">
                  <c:v>-417.65186602076363</c:v>
                </c:pt>
                <c:pt idx="41">
                  <c:v>-417.65186602076363</c:v>
                </c:pt>
                <c:pt idx="42">
                  <c:v>-472.55715731118272</c:v>
                </c:pt>
                <c:pt idx="43">
                  <c:v>-472.55715731118272</c:v>
                </c:pt>
                <c:pt idx="44">
                  <c:v>-472.55715731118272</c:v>
                </c:pt>
                <c:pt idx="45">
                  <c:v>-476.67079034603455</c:v>
                </c:pt>
                <c:pt idx="46">
                  <c:v>-476.67079034603455</c:v>
                </c:pt>
                <c:pt idx="47">
                  <c:v>-476.67079034603455</c:v>
                </c:pt>
                <c:pt idx="48">
                  <c:v>-428.8164109303284</c:v>
                </c:pt>
                <c:pt idx="49">
                  <c:v>-428.8164109303284</c:v>
                </c:pt>
                <c:pt idx="50">
                  <c:v>-428.8164109303284</c:v>
                </c:pt>
                <c:pt idx="51">
                  <c:v>-453.92932411272068</c:v>
                </c:pt>
                <c:pt idx="52">
                  <c:v>-453.92932411272068</c:v>
                </c:pt>
                <c:pt idx="53">
                  <c:v>-453.92932411272068</c:v>
                </c:pt>
                <c:pt idx="54">
                  <c:v>-475.38804030488376</c:v>
                </c:pt>
                <c:pt idx="55">
                  <c:v>-475.38804030488376</c:v>
                </c:pt>
                <c:pt idx="56">
                  <c:v>-475.38804030488376</c:v>
                </c:pt>
                <c:pt idx="57">
                  <c:v>-508.238826473693</c:v>
                </c:pt>
                <c:pt idx="58">
                  <c:v>-508.238826473693</c:v>
                </c:pt>
                <c:pt idx="59">
                  <c:v>-508.238826473693</c:v>
                </c:pt>
                <c:pt idx="60">
                  <c:v>-482.66582856860003</c:v>
                </c:pt>
                <c:pt idx="61">
                  <c:v>-482.66582856860003</c:v>
                </c:pt>
                <c:pt idx="62">
                  <c:v>-482.66582856860003</c:v>
                </c:pt>
                <c:pt idx="63">
                  <c:v>-489.22309161064271</c:v>
                </c:pt>
                <c:pt idx="64">
                  <c:v>-489.22309161064271</c:v>
                </c:pt>
                <c:pt idx="65">
                  <c:v>-489.22309161064271</c:v>
                </c:pt>
                <c:pt idx="66">
                  <c:v>-540.72394256518112</c:v>
                </c:pt>
                <c:pt idx="67">
                  <c:v>-540.72394256518112</c:v>
                </c:pt>
                <c:pt idx="68">
                  <c:v>-540.72394256518112</c:v>
                </c:pt>
                <c:pt idx="69">
                  <c:v>-623.70771434456401</c:v>
                </c:pt>
                <c:pt idx="70">
                  <c:v>-623.70771434456401</c:v>
                </c:pt>
                <c:pt idx="71">
                  <c:v>-623.70771434456401</c:v>
                </c:pt>
                <c:pt idx="72">
                  <c:v>-571.13621127051078</c:v>
                </c:pt>
                <c:pt idx="73">
                  <c:v>-571.13621127051078</c:v>
                </c:pt>
                <c:pt idx="74">
                  <c:v>-571.13621127051078</c:v>
                </c:pt>
                <c:pt idx="75">
                  <c:v>-507.13551397185904</c:v>
                </c:pt>
                <c:pt idx="76">
                  <c:v>-507.13551397185904</c:v>
                </c:pt>
                <c:pt idx="77">
                  <c:v>-507.13551397185904</c:v>
                </c:pt>
                <c:pt idx="78">
                  <c:v>-522.15825553889113</c:v>
                </c:pt>
                <c:pt idx="79">
                  <c:v>-522.15825553889113</c:v>
                </c:pt>
                <c:pt idx="80">
                  <c:v>-522.15825553889113</c:v>
                </c:pt>
                <c:pt idx="81">
                  <c:v>-598.42200211940872</c:v>
                </c:pt>
                <c:pt idx="82">
                  <c:v>-598.42200211940872</c:v>
                </c:pt>
                <c:pt idx="83">
                  <c:v>-598.42200211940872</c:v>
                </c:pt>
                <c:pt idx="84">
                  <c:v>-620.61962915845675</c:v>
                </c:pt>
                <c:pt idx="85">
                  <c:v>-620.61962915845675</c:v>
                </c:pt>
                <c:pt idx="86">
                  <c:v>-620.61962915845675</c:v>
                </c:pt>
                <c:pt idx="87">
                  <c:v>-567.93670092576565</c:v>
                </c:pt>
                <c:pt idx="88">
                  <c:v>-567.93670092576565</c:v>
                </c:pt>
                <c:pt idx="89">
                  <c:v>-567.93670092576565</c:v>
                </c:pt>
                <c:pt idx="90">
                  <c:v>-571.29971787058435</c:v>
                </c:pt>
                <c:pt idx="91">
                  <c:v>-571.29971787058435</c:v>
                </c:pt>
                <c:pt idx="92">
                  <c:v>-571.29971787058435</c:v>
                </c:pt>
                <c:pt idx="93">
                  <c:v>-649.2862399769059</c:v>
                </c:pt>
                <c:pt idx="94">
                  <c:v>-649.2862399769059</c:v>
                </c:pt>
                <c:pt idx="95">
                  <c:v>-649.2862399769059</c:v>
                </c:pt>
                <c:pt idx="96">
                  <c:v>-663.11408408027773</c:v>
                </c:pt>
                <c:pt idx="97">
                  <c:v>-663.11408408027773</c:v>
                </c:pt>
                <c:pt idx="98">
                  <c:v>-663.11408408027773</c:v>
                </c:pt>
                <c:pt idx="99">
                  <c:v>-598.88133069839091</c:v>
                </c:pt>
                <c:pt idx="100">
                  <c:v>-598.88133069839091</c:v>
                </c:pt>
                <c:pt idx="101">
                  <c:v>-598.88133069839091</c:v>
                </c:pt>
                <c:pt idx="102">
                  <c:v>-680.25293685400027</c:v>
                </c:pt>
                <c:pt idx="103">
                  <c:v>-680.25293685400027</c:v>
                </c:pt>
                <c:pt idx="104">
                  <c:v>-680.25293685400027</c:v>
                </c:pt>
                <c:pt idx="105">
                  <c:v>-819.7811733532867</c:v>
                </c:pt>
                <c:pt idx="106">
                  <c:v>-819.7811733532867</c:v>
                </c:pt>
                <c:pt idx="107">
                  <c:v>-819.7811733532867</c:v>
                </c:pt>
                <c:pt idx="108">
                  <c:v>-955.02476876322771</c:v>
                </c:pt>
                <c:pt idx="109">
                  <c:v>-955.02476876322771</c:v>
                </c:pt>
                <c:pt idx="110">
                  <c:v>-955.02476876322771</c:v>
                </c:pt>
                <c:pt idx="111">
                  <c:v>-893.02697360081982</c:v>
                </c:pt>
                <c:pt idx="112">
                  <c:v>-893.02697360081982</c:v>
                </c:pt>
                <c:pt idx="113">
                  <c:v>-893.02697360081982</c:v>
                </c:pt>
                <c:pt idx="114">
                  <c:v>-896.39407454518994</c:v>
                </c:pt>
                <c:pt idx="115">
                  <c:v>-896.39407454518994</c:v>
                </c:pt>
                <c:pt idx="116">
                  <c:v>-896.39407454518994</c:v>
                </c:pt>
                <c:pt idx="117">
                  <c:v>-906.96419110547504</c:v>
                </c:pt>
                <c:pt idx="118">
                  <c:v>-906.96419110547504</c:v>
                </c:pt>
                <c:pt idx="119">
                  <c:v>-906.96419110547504</c:v>
                </c:pt>
                <c:pt idx="120">
                  <c:v>-1103.7642217867776</c:v>
                </c:pt>
                <c:pt idx="121">
                  <c:v>-1103.7642217867776</c:v>
                </c:pt>
                <c:pt idx="122">
                  <c:v>-1103.7642217867776</c:v>
                </c:pt>
                <c:pt idx="123">
                  <c:v>-1277.4814868044957</c:v>
                </c:pt>
                <c:pt idx="124">
                  <c:v>-1277.4814868044957</c:v>
                </c:pt>
                <c:pt idx="125">
                  <c:v>-1277.4814868044957</c:v>
                </c:pt>
                <c:pt idx="126">
                  <c:v>-1284.6984126984125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A7-4853-8043-3C12ABE7DA07}"/>
            </c:ext>
          </c:extLst>
        </c:ser>
        <c:ser>
          <c:idx val="2"/>
          <c:order val="2"/>
          <c:tx>
            <c:v>Area 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Path!$N$4:$N$133</c:f>
              <c:numCache>
                <c:formatCode>0.0</c:formatCode>
                <c:ptCount val="1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13.458246147851355</c:v>
                </c:pt>
                <c:pt idx="7">
                  <c:v>13.458246147851355</c:v>
                </c:pt>
                <c:pt idx="8">
                  <c:v>13.458246147851355</c:v>
                </c:pt>
                <c:pt idx="9">
                  <c:v>26.825126465333199</c:v>
                </c:pt>
                <c:pt idx="10">
                  <c:v>26.825126465333199</c:v>
                </c:pt>
                <c:pt idx="11">
                  <c:v>26.825126465333199</c:v>
                </c:pt>
                <c:pt idx="12">
                  <c:v>38.032869625994323</c:v>
                </c:pt>
                <c:pt idx="13">
                  <c:v>38.032869625994323</c:v>
                </c:pt>
                <c:pt idx="14">
                  <c:v>38.032869625994323</c:v>
                </c:pt>
                <c:pt idx="15">
                  <c:v>44.592513337133298</c:v>
                </c:pt>
                <c:pt idx="16">
                  <c:v>44.592513337133298</c:v>
                </c:pt>
                <c:pt idx="17">
                  <c:v>44.592513337133298</c:v>
                </c:pt>
                <c:pt idx="18">
                  <c:v>49.222217124443787</c:v>
                </c:pt>
                <c:pt idx="19">
                  <c:v>49.222217124443787</c:v>
                </c:pt>
                <c:pt idx="20">
                  <c:v>49.222217124443787</c:v>
                </c:pt>
                <c:pt idx="21">
                  <c:v>51.483968067642941</c:v>
                </c:pt>
                <c:pt idx="22">
                  <c:v>51.483968067642941</c:v>
                </c:pt>
                <c:pt idx="23">
                  <c:v>51.483968067642941</c:v>
                </c:pt>
                <c:pt idx="24">
                  <c:v>52.968767187087977</c:v>
                </c:pt>
                <c:pt idx="25">
                  <c:v>52.968767187087977</c:v>
                </c:pt>
                <c:pt idx="26">
                  <c:v>52.968767187087977</c:v>
                </c:pt>
                <c:pt idx="27">
                  <c:v>73.955958982875543</c:v>
                </c:pt>
                <c:pt idx="28">
                  <c:v>73.955958982875543</c:v>
                </c:pt>
                <c:pt idx="29">
                  <c:v>73.955958982875543</c:v>
                </c:pt>
                <c:pt idx="30">
                  <c:v>77.723140711537795</c:v>
                </c:pt>
                <c:pt idx="31">
                  <c:v>77.723140711537795</c:v>
                </c:pt>
                <c:pt idx="32">
                  <c:v>77.723140711537795</c:v>
                </c:pt>
                <c:pt idx="33">
                  <c:v>82.950044040546345</c:v>
                </c:pt>
                <c:pt idx="34">
                  <c:v>82.950044040546345</c:v>
                </c:pt>
                <c:pt idx="35">
                  <c:v>82.950044040546345</c:v>
                </c:pt>
                <c:pt idx="36">
                  <c:v>86.845192807515417</c:v>
                </c:pt>
                <c:pt idx="37">
                  <c:v>86.845192807515417</c:v>
                </c:pt>
                <c:pt idx="38">
                  <c:v>86.845192807515417</c:v>
                </c:pt>
                <c:pt idx="39">
                  <c:v>88.640808097983111</c:v>
                </c:pt>
                <c:pt idx="40">
                  <c:v>88.640808097983111</c:v>
                </c:pt>
                <c:pt idx="41">
                  <c:v>88.640808097983111</c:v>
                </c:pt>
                <c:pt idx="42">
                  <c:v>92.502641436735871</c:v>
                </c:pt>
                <c:pt idx="43">
                  <c:v>92.502641436735871</c:v>
                </c:pt>
                <c:pt idx="44">
                  <c:v>92.502641436735871</c:v>
                </c:pt>
                <c:pt idx="45">
                  <c:v>97.98663233402803</c:v>
                </c:pt>
                <c:pt idx="46">
                  <c:v>97.98663233402803</c:v>
                </c:pt>
                <c:pt idx="47">
                  <c:v>97.98663233402803</c:v>
                </c:pt>
                <c:pt idx="48">
                  <c:v>102.15930487398168</c:v>
                </c:pt>
                <c:pt idx="49">
                  <c:v>102.15930487398168</c:v>
                </c:pt>
                <c:pt idx="50">
                  <c:v>102.15930487398168</c:v>
                </c:pt>
                <c:pt idx="51">
                  <c:v>115.11011014465514</c:v>
                </c:pt>
                <c:pt idx="52">
                  <c:v>115.11011014465514</c:v>
                </c:pt>
                <c:pt idx="53">
                  <c:v>115.11011014465514</c:v>
                </c:pt>
                <c:pt idx="54">
                  <c:v>117.00400183135253</c:v>
                </c:pt>
                <c:pt idx="55">
                  <c:v>117.00400183135253</c:v>
                </c:pt>
                <c:pt idx="56">
                  <c:v>117.00400183135253</c:v>
                </c:pt>
                <c:pt idx="57">
                  <c:v>120.04005638742048</c:v>
                </c:pt>
                <c:pt idx="58">
                  <c:v>120.04005638742048</c:v>
                </c:pt>
                <c:pt idx="59">
                  <c:v>120.04005638742048</c:v>
                </c:pt>
                <c:pt idx="60">
                  <c:v>124.4591795965577</c:v>
                </c:pt>
                <c:pt idx="61">
                  <c:v>124.4591795965577</c:v>
                </c:pt>
                <c:pt idx="62">
                  <c:v>124.4591795965577</c:v>
                </c:pt>
                <c:pt idx="63">
                  <c:v>129.5591795965577</c:v>
                </c:pt>
                <c:pt idx="64">
                  <c:v>129.5591795965577</c:v>
                </c:pt>
                <c:pt idx="65">
                  <c:v>129.5591795965577</c:v>
                </c:pt>
                <c:pt idx="66">
                  <c:v>132.75264354602351</c:v>
                </c:pt>
                <c:pt idx="67">
                  <c:v>132.75264354602351</c:v>
                </c:pt>
                <c:pt idx="68">
                  <c:v>132.75264354602351</c:v>
                </c:pt>
                <c:pt idx="69">
                  <c:v>136.39034751087979</c:v>
                </c:pt>
                <c:pt idx="70">
                  <c:v>136.39034751087979</c:v>
                </c:pt>
                <c:pt idx="71">
                  <c:v>136.39034751087979</c:v>
                </c:pt>
                <c:pt idx="72">
                  <c:v>142.21869900319297</c:v>
                </c:pt>
                <c:pt idx="73">
                  <c:v>142.21869900319297</c:v>
                </c:pt>
                <c:pt idx="74">
                  <c:v>142.21869900319297</c:v>
                </c:pt>
                <c:pt idx="75">
                  <c:v>147.42768686213654</c:v>
                </c:pt>
                <c:pt idx="76">
                  <c:v>147.42768686213654</c:v>
                </c:pt>
                <c:pt idx="77">
                  <c:v>147.42768686213654</c:v>
                </c:pt>
                <c:pt idx="78">
                  <c:v>155.4552065726302</c:v>
                </c:pt>
                <c:pt idx="79">
                  <c:v>155.4552065726302</c:v>
                </c:pt>
                <c:pt idx="80">
                  <c:v>155.4552065726302</c:v>
                </c:pt>
                <c:pt idx="81">
                  <c:v>160.58001233198883</c:v>
                </c:pt>
                <c:pt idx="82">
                  <c:v>160.58001233198883</c:v>
                </c:pt>
                <c:pt idx="83">
                  <c:v>160.58001233198883</c:v>
                </c:pt>
                <c:pt idx="84">
                  <c:v>167.77677473293693</c:v>
                </c:pt>
                <c:pt idx="85">
                  <c:v>167.77677473293693</c:v>
                </c:pt>
                <c:pt idx="86">
                  <c:v>167.77677473293693</c:v>
                </c:pt>
                <c:pt idx="87">
                  <c:v>172.82947252565572</c:v>
                </c:pt>
                <c:pt idx="88">
                  <c:v>172.82947252565572</c:v>
                </c:pt>
                <c:pt idx="89">
                  <c:v>172.82947252565572</c:v>
                </c:pt>
                <c:pt idx="90">
                  <c:v>174.62618499667633</c:v>
                </c:pt>
                <c:pt idx="91">
                  <c:v>174.62618499667633</c:v>
                </c:pt>
                <c:pt idx="92">
                  <c:v>174.62618499667633</c:v>
                </c:pt>
                <c:pt idx="93">
                  <c:v>180.02458338134062</c:v>
                </c:pt>
                <c:pt idx="94">
                  <c:v>180.02458338134062</c:v>
                </c:pt>
                <c:pt idx="95">
                  <c:v>180.02458338134062</c:v>
                </c:pt>
                <c:pt idx="96">
                  <c:v>187.60810997974357</c:v>
                </c:pt>
                <c:pt idx="97">
                  <c:v>187.60810997974357</c:v>
                </c:pt>
                <c:pt idx="98">
                  <c:v>187.60810997974357</c:v>
                </c:pt>
                <c:pt idx="99">
                  <c:v>193.32389433919923</c:v>
                </c:pt>
                <c:pt idx="100">
                  <c:v>193.32389433919923</c:v>
                </c:pt>
                <c:pt idx="101">
                  <c:v>193.32389433919923</c:v>
                </c:pt>
                <c:pt idx="102">
                  <c:v>236.79736305904493</c:v>
                </c:pt>
                <c:pt idx="103">
                  <c:v>236.79736305904493</c:v>
                </c:pt>
                <c:pt idx="104">
                  <c:v>236.79736305904493</c:v>
                </c:pt>
                <c:pt idx="105">
                  <c:v>244.90144502749442</c:v>
                </c:pt>
                <c:pt idx="106">
                  <c:v>244.90144502749442</c:v>
                </c:pt>
                <c:pt idx="107">
                  <c:v>244.90144502749442</c:v>
                </c:pt>
                <c:pt idx="108">
                  <c:v>255.19194286458801</c:v>
                </c:pt>
                <c:pt idx="109">
                  <c:v>255.19194286458801</c:v>
                </c:pt>
                <c:pt idx="110">
                  <c:v>255.19194286458801</c:v>
                </c:pt>
                <c:pt idx="111">
                  <c:v>262.11483006836966</c:v>
                </c:pt>
                <c:pt idx="112">
                  <c:v>262.11483006836966</c:v>
                </c:pt>
                <c:pt idx="113">
                  <c:v>262.11483006836966</c:v>
                </c:pt>
                <c:pt idx="114">
                  <c:v>263.9137322222943</c:v>
                </c:pt>
                <c:pt idx="115">
                  <c:v>263.9137322222943</c:v>
                </c:pt>
                <c:pt idx="116">
                  <c:v>263.9137322222943</c:v>
                </c:pt>
                <c:pt idx="117">
                  <c:v>266.26285237378926</c:v>
                </c:pt>
                <c:pt idx="118">
                  <c:v>266.26285237378926</c:v>
                </c:pt>
                <c:pt idx="119">
                  <c:v>266.26285237378926</c:v>
                </c:pt>
                <c:pt idx="120">
                  <c:v>293.5985248531307</c:v>
                </c:pt>
                <c:pt idx="121">
                  <c:v>293.5985248531307</c:v>
                </c:pt>
                <c:pt idx="122">
                  <c:v>293.5985248531307</c:v>
                </c:pt>
                <c:pt idx="123">
                  <c:v>316.15278153534501</c:v>
                </c:pt>
                <c:pt idx="124">
                  <c:v>316.15278153534501</c:v>
                </c:pt>
                <c:pt idx="125">
                  <c:v>316.15278153534501</c:v>
                </c:pt>
                <c:pt idx="126">
                  <c:v>316.64520581289304</c:v>
                </c:pt>
              </c:numCache>
            </c:numRef>
          </c:xVal>
          <c:yVal>
            <c:numRef>
              <c:f>Path!$S$4:$S$133</c:f>
              <c:numCache>
                <c:formatCode>0</c:formatCode>
                <c:ptCount val="130"/>
                <c:pt idx="1">
                  <c:v>246.31177465608911</c:v>
                </c:pt>
                <c:pt idx="2">
                  <c:v>246.31177465608911</c:v>
                </c:pt>
                <c:pt idx="3">
                  <c:v>246.31177465608911</c:v>
                </c:pt>
                <c:pt idx="4">
                  <c:v>246.31177465608911</c:v>
                </c:pt>
                <c:pt idx="5">
                  <c:v>246.31177465608911</c:v>
                </c:pt>
                <c:pt idx="6">
                  <c:v>270.97457874773755</c:v>
                </c:pt>
                <c:pt idx="7">
                  <c:v>270.97457874773755</c:v>
                </c:pt>
                <c:pt idx="8">
                  <c:v>270.97457874773755</c:v>
                </c:pt>
                <c:pt idx="9">
                  <c:v>295.4699510990003</c:v>
                </c:pt>
                <c:pt idx="10">
                  <c:v>295.4699510990003</c:v>
                </c:pt>
                <c:pt idx="11">
                  <c:v>295.4699510990003</c:v>
                </c:pt>
                <c:pt idx="12">
                  <c:v>316.00861348072738</c:v>
                </c:pt>
                <c:pt idx="13">
                  <c:v>316.00861348072738</c:v>
                </c:pt>
                <c:pt idx="14">
                  <c:v>316.00861348072738</c:v>
                </c:pt>
                <c:pt idx="15">
                  <c:v>328.02943744111121</c:v>
                </c:pt>
                <c:pt idx="16">
                  <c:v>328.02943744111121</c:v>
                </c:pt>
                <c:pt idx="17">
                  <c:v>328.02943744111121</c:v>
                </c:pt>
                <c:pt idx="18">
                  <c:v>336.51356503503479</c:v>
                </c:pt>
                <c:pt idx="19">
                  <c:v>336.51356503503479</c:v>
                </c:pt>
                <c:pt idx="20">
                  <c:v>336.51356503503479</c:v>
                </c:pt>
                <c:pt idx="21">
                  <c:v>340.65831909907956</c:v>
                </c:pt>
                <c:pt idx="22">
                  <c:v>340.65831909907956</c:v>
                </c:pt>
                <c:pt idx="23">
                  <c:v>340.65831909907956</c:v>
                </c:pt>
                <c:pt idx="24">
                  <c:v>343.37927615366362</c:v>
                </c:pt>
                <c:pt idx="25">
                  <c:v>343.37927615366362</c:v>
                </c:pt>
                <c:pt idx="26">
                  <c:v>343.37927615366362</c:v>
                </c:pt>
                <c:pt idx="27">
                  <c:v>381.83919091573659</c:v>
                </c:pt>
                <c:pt idx="28">
                  <c:v>381.83919091573659</c:v>
                </c:pt>
                <c:pt idx="29">
                  <c:v>381.83919091573659</c:v>
                </c:pt>
                <c:pt idx="30">
                  <c:v>388.74271043313433</c:v>
                </c:pt>
                <c:pt idx="31">
                  <c:v>388.74271043313433</c:v>
                </c:pt>
                <c:pt idx="32">
                  <c:v>388.74271043313433</c:v>
                </c:pt>
                <c:pt idx="33">
                  <c:v>398.32123139293299</c:v>
                </c:pt>
                <c:pt idx="34">
                  <c:v>398.32123139293299</c:v>
                </c:pt>
                <c:pt idx="35">
                  <c:v>398.32123139293299</c:v>
                </c:pt>
                <c:pt idx="36">
                  <c:v>405.45925590907109</c:v>
                </c:pt>
                <c:pt idx="37">
                  <c:v>405.45925590907109</c:v>
                </c:pt>
                <c:pt idx="38">
                  <c:v>405.45925590907109</c:v>
                </c:pt>
                <c:pt idx="39">
                  <c:v>408.74979671552251</c:v>
                </c:pt>
                <c:pt idx="40">
                  <c:v>408.74979671552251</c:v>
                </c:pt>
                <c:pt idx="41">
                  <c:v>408.74979671552251</c:v>
                </c:pt>
                <c:pt idx="42">
                  <c:v>415.82676930332605</c:v>
                </c:pt>
                <c:pt idx="43">
                  <c:v>415.82676930332605</c:v>
                </c:pt>
                <c:pt idx="44">
                  <c:v>415.82676930332605</c:v>
                </c:pt>
                <c:pt idx="45">
                  <c:v>425.87641408277545</c:v>
                </c:pt>
                <c:pt idx="46">
                  <c:v>425.87641408277545</c:v>
                </c:pt>
                <c:pt idx="47">
                  <c:v>425.87641408277545</c:v>
                </c:pt>
                <c:pt idx="48">
                  <c:v>433.52301262622001</c:v>
                </c:pt>
                <c:pt idx="49">
                  <c:v>433.52301262622001</c:v>
                </c:pt>
                <c:pt idx="50">
                  <c:v>433.52301262622001</c:v>
                </c:pt>
                <c:pt idx="51">
                  <c:v>457.25590989312735</c:v>
                </c:pt>
                <c:pt idx="52">
                  <c:v>457.25590989312735</c:v>
                </c:pt>
                <c:pt idx="53">
                  <c:v>457.25590989312735</c:v>
                </c:pt>
                <c:pt idx="54">
                  <c:v>460.72654634357423</c:v>
                </c:pt>
                <c:pt idx="55">
                  <c:v>460.72654634357423</c:v>
                </c:pt>
                <c:pt idx="56">
                  <c:v>460.72654634357423</c:v>
                </c:pt>
                <c:pt idx="57">
                  <c:v>466.29024445886057</c:v>
                </c:pt>
                <c:pt idx="58">
                  <c:v>466.29024445886057</c:v>
                </c:pt>
                <c:pt idx="59">
                  <c:v>466.29024445886057</c:v>
                </c:pt>
                <c:pt idx="60">
                  <c:v>474.38847425540865</c:v>
                </c:pt>
                <c:pt idx="61">
                  <c:v>474.38847425540865</c:v>
                </c:pt>
                <c:pt idx="62">
                  <c:v>474.38847425540865</c:v>
                </c:pt>
                <c:pt idx="63">
                  <c:v>483.73443950865146</c:v>
                </c:pt>
                <c:pt idx="64">
                  <c:v>483.73443950865146</c:v>
                </c:pt>
                <c:pt idx="65">
                  <c:v>483.73443950865146</c:v>
                </c:pt>
                <c:pt idx="66">
                  <c:v>489.58659698104179</c:v>
                </c:pt>
                <c:pt idx="67">
                  <c:v>489.58659698104179</c:v>
                </c:pt>
                <c:pt idx="68">
                  <c:v>489.58659698104179</c:v>
                </c:pt>
                <c:pt idx="69">
                  <c:v>496.25284303145952</c:v>
                </c:pt>
                <c:pt idx="70">
                  <c:v>496.25284303145952</c:v>
                </c:pt>
                <c:pt idx="71">
                  <c:v>496.25284303145952</c:v>
                </c:pt>
                <c:pt idx="72">
                  <c:v>506.9335431355467</c:v>
                </c:pt>
                <c:pt idx="73">
                  <c:v>506.9335431355467</c:v>
                </c:pt>
                <c:pt idx="74">
                  <c:v>506.9335431355467</c:v>
                </c:pt>
                <c:pt idx="75">
                  <c:v>516.4792332403016</c:v>
                </c:pt>
                <c:pt idx="76">
                  <c:v>516.4792332403016</c:v>
                </c:pt>
                <c:pt idx="77">
                  <c:v>516.4792332403016</c:v>
                </c:pt>
                <c:pt idx="78">
                  <c:v>531.19000192343788</c:v>
                </c:pt>
                <c:pt idx="79">
                  <c:v>531.19000192343788</c:v>
                </c:pt>
                <c:pt idx="80">
                  <c:v>531.19000192343788</c:v>
                </c:pt>
                <c:pt idx="81">
                  <c:v>540.58142477767012</c:v>
                </c:pt>
                <c:pt idx="82">
                  <c:v>540.58142477767012</c:v>
                </c:pt>
                <c:pt idx="83">
                  <c:v>540.58142477767012</c:v>
                </c:pt>
                <c:pt idx="84">
                  <c:v>553.76979562769066</c:v>
                </c:pt>
                <c:pt idx="85">
                  <c:v>553.76979562769066</c:v>
                </c:pt>
                <c:pt idx="86">
                  <c:v>553.76979562769066</c:v>
                </c:pt>
                <c:pt idx="87">
                  <c:v>563.0290775896292</c:v>
                </c:pt>
                <c:pt idx="88">
                  <c:v>563.0290775896292</c:v>
                </c:pt>
                <c:pt idx="89">
                  <c:v>563.0290775896292</c:v>
                </c:pt>
                <c:pt idx="90">
                  <c:v>566.32162902575203</c:v>
                </c:pt>
                <c:pt idx="91">
                  <c:v>566.32162902575203</c:v>
                </c:pt>
                <c:pt idx="92">
                  <c:v>566.32162902575203</c:v>
                </c:pt>
                <c:pt idx="93">
                  <c:v>576.214421913249</c:v>
                </c:pt>
                <c:pt idx="94">
                  <c:v>576.214421913249</c:v>
                </c:pt>
                <c:pt idx="95">
                  <c:v>576.214421913249</c:v>
                </c:pt>
                <c:pt idx="96">
                  <c:v>590.11155447907572</c:v>
                </c:pt>
                <c:pt idx="97">
                  <c:v>590.11155447907572</c:v>
                </c:pt>
                <c:pt idx="98">
                  <c:v>590.11155447907572</c:v>
                </c:pt>
                <c:pt idx="99">
                  <c:v>600.58597056113467</c:v>
                </c:pt>
                <c:pt idx="100">
                  <c:v>600.58597056113467</c:v>
                </c:pt>
                <c:pt idx="101">
                  <c:v>600.58597056113467</c:v>
                </c:pt>
                <c:pt idx="102">
                  <c:v>680.25293685400027</c:v>
                </c:pt>
                <c:pt idx="103">
                  <c:v>680.25293685400027</c:v>
                </c:pt>
                <c:pt idx="104">
                  <c:v>680.25293685400027</c:v>
                </c:pt>
                <c:pt idx="105">
                  <c:v>741.60056395023139</c:v>
                </c:pt>
                <c:pt idx="106">
                  <c:v>741.60056395023139</c:v>
                </c:pt>
                <c:pt idx="107">
                  <c:v>741.60056395023139</c:v>
                </c:pt>
                <c:pt idx="108">
                  <c:v>819.49928540965584</c:v>
                </c:pt>
                <c:pt idx="109">
                  <c:v>819.49928540965584</c:v>
                </c:pt>
                <c:pt idx="110">
                  <c:v>819.49928540965584</c:v>
                </c:pt>
                <c:pt idx="111">
                  <c:v>871.90530798695727</c:v>
                </c:pt>
                <c:pt idx="112">
                  <c:v>871.90530798695727</c:v>
                </c:pt>
                <c:pt idx="113">
                  <c:v>871.90530798695727</c:v>
                </c:pt>
                <c:pt idx="114">
                  <c:v>885.52293660315581</c:v>
                </c:pt>
                <c:pt idx="115">
                  <c:v>885.52293660315581</c:v>
                </c:pt>
                <c:pt idx="116">
                  <c:v>885.52293660315581</c:v>
                </c:pt>
                <c:pt idx="117">
                  <c:v>903.30569689842559</c:v>
                </c:pt>
                <c:pt idx="118">
                  <c:v>903.30569689842559</c:v>
                </c:pt>
                <c:pt idx="119">
                  <c:v>903.30569689842559</c:v>
                </c:pt>
                <c:pt idx="120">
                  <c:v>1110.2358153518292</c:v>
                </c:pt>
                <c:pt idx="121">
                  <c:v>1110.2358153518292</c:v>
                </c:pt>
                <c:pt idx="122">
                  <c:v>1110.2358153518292</c:v>
                </c:pt>
                <c:pt idx="123">
                  <c:v>1280.970777530141</c:v>
                </c:pt>
                <c:pt idx="124">
                  <c:v>1280.970777530141</c:v>
                </c:pt>
                <c:pt idx="125">
                  <c:v>1280.970777530141</c:v>
                </c:pt>
                <c:pt idx="126">
                  <c:v>1284.6984126984125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9A7-4853-8043-3C12ABE7DA07}"/>
            </c:ext>
          </c:extLst>
        </c:ser>
        <c:ser>
          <c:idx val="3"/>
          <c:order val="3"/>
          <c:tx>
            <c:v>Area 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Path!$N$4:$N$133</c:f>
              <c:numCache>
                <c:formatCode>0.0</c:formatCode>
                <c:ptCount val="1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13.458246147851355</c:v>
                </c:pt>
                <c:pt idx="7">
                  <c:v>13.458246147851355</c:v>
                </c:pt>
                <c:pt idx="8">
                  <c:v>13.458246147851355</c:v>
                </c:pt>
                <c:pt idx="9">
                  <c:v>26.825126465333199</c:v>
                </c:pt>
                <c:pt idx="10">
                  <c:v>26.825126465333199</c:v>
                </c:pt>
                <c:pt idx="11">
                  <c:v>26.825126465333199</c:v>
                </c:pt>
                <c:pt idx="12">
                  <c:v>38.032869625994323</c:v>
                </c:pt>
                <c:pt idx="13">
                  <c:v>38.032869625994323</c:v>
                </c:pt>
                <c:pt idx="14">
                  <c:v>38.032869625994323</c:v>
                </c:pt>
                <c:pt idx="15">
                  <c:v>44.592513337133298</c:v>
                </c:pt>
                <c:pt idx="16">
                  <c:v>44.592513337133298</c:v>
                </c:pt>
                <c:pt idx="17">
                  <c:v>44.592513337133298</c:v>
                </c:pt>
                <c:pt idx="18">
                  <c:v>49.222217124443787</c:v>
                </c:pt>
                <c:pt idx="19">
                  <c:v>49.222217124443787</c:v>
                </c:pt>
                <c:pt idx="20">
                  <c:v>49.222217124443787</c:v>
                </c:pt>
                <c:pt idx="21">
                  <c:v>51.483968067642941</c:v>
                </c:pt>
                <c:pt idx="22">
                  <c:v>51.483968067642941</c:v>
                </c:pt>
                <c:pt idx="23">
                  <c:v>51.483968067642941</c:v>
                </c:pt>
                <c:pt idx="24">
                  <c:v>52.968767187087977</c:v>
                </c:pt>
                <c:pt idx="25">
                  <c:v>52.968767187087977</c:v>
                </c:pt>
                <c:pt idx="26">
                  <c:v>52.968767187087977</c:v>
                </c:pt>
                <c:pt idx="27">
                  <c:v>73.955958982875543</c:v>
                </c:pt>
                <c:pt idx="28">
                  <c:v>73.955958982875543</c:v>
                </c:pt>
                <c:pt idx="29">
                  <c:v>73.955958982875543</c:v>
                </c:pt>
                <c:pt idx="30">
                  <c:v>77.723140711537795</c:v>
                </c:pt>
                <c:pt idx="31">
                  <c:v>77.723140711537795</c:v>
                </c:pt>
                <c:pt idx="32">
                  <c:v>77.723140711537795</c:v>
                </c:pt>
                <c:pt idx="33">
                  <c:v>82.950044040546345</c:v>
                </c:pt>
                <c:pt idx="34">
                  <c:v>82.950044040546345</c:v>
                </c:pt>
                <c:pt idx="35">
                  <c:v>82.950044040546345</c:v>
                </c:pt>
                <c:pt idx="36">
                  <c:v>86.845192807515417</c:v>
                </c:pt>
                <c:pt idx="37">
                  <c:v>86.845192807515417</c:v>
                </c:pt>
                <c:pt idx="38">
                  <c:v>86.845192807515417</c:v>
                </c:pt>
                <c:pt idx="39">
                  <c:v>88.640808097983111</c:v>
                </c:pt>
                <c:pt idx="40">
                  <c:v>88.640808097983111</c:v>
                </c:pt>
                <c:pt idx="41">
                  <c:v>88.640808097983111</c:v>
                </c:pt>
                <c:pt idx="42">
                  <c:v>92.502641436735871</c:v>
                </c:pt>
                <c:pt idx="43">
                  <c:v>92.502641436735871</c:v>
                </c:pt>
                <c:pt idx="44">
                  <c:v>92.502641436735871</c:v>
                </c:pt>
                <c:pt idx="45">
                  <c:v>97.98663233402803</c:v>
                </c:pt>
                <c:pt idx="46">
                  <c:v>97.98663233402803</c:v>
                </c:pt>
                <c:pt idx="47">
                  <c:v>97.98663233402803</c:v>
                </c:pt>
                <c:pt idx="48">
                  <c:v>102.15930487398168</c:v>
                </c:pt>
                <c:pt idx="49">
                  <c:v>102.15930487398168</c:v>
                </c:pt>
                <c:pt idx="50">
                  <c:v>102.15930487398168</c:v>
                </c:pt>
                <c:pt idx="51">
                  <c:v>115.11011014465514</c:v>
                </c:pt>
                <c:pt idx="52">
                  <c:v>115.11011014465514</c:v>
                </c:pt>
                <c:pt idx="53">
                  <c:v>115.11011014465514</c:v>
                </c:pt>
                <c:pt idx="54">
                  <c:v>117.00400183135253</c:v>
                </c:pt>
                <c:pt idx="55">
                  <c:v>117.00400183135253</c:v>
                </c:pt>
                <c:pt idx="56">
                  <c:v>117.00400183135253</c:v>
                </c:pt>
                <c:pt idx="57">
                  <c:v>120.04005638742048</c:v>
                </c:pt>
                <c:pt idx="58">
                  <c:v>120.04005638742048</c:v>
                </c:pt>
                <c:pt idx="59">
                  <c:v>120.04005638742048</c:v>
                </c:pt>
                <c:pt idx="60">
                  <c:v>124.4591795965577</c:v>
                </c:pt>
                <c:pt idx="61">
                  <c:v>124.4591795965577</c:v>
                </c:pt>
                <c:pt idx="62">
                  <c:v>124.4591795965577</c:v>
                </c:pt>
                <c:pt idx="63">
                  <c:v>129.5591795965577</c:v>
                </c:pt>
                <c:pt idx="64">
                  <c:v>129.5591795965577</c:v>
                </c:pt>
                <c:pt idx="65">
                  <c:v>129.5591795965577</c:v>
                </c:pt>
                <c:pt idx="66">
                  <c:v>132.75264354602351</c:v>
                </c:pt>
                <c:pt idx="67">
                  <c:v>132.75264354602351</c:v>
                </c:pt>
                <c:pt idx="68">
                  <c:v>132.75264354602351</c:v>
                </c:pt>
                <c:pt idx="69">
                  <c:v>136.39034751087979</c:v>
                </c:pt>
                <c:pt idx="70">
                  <c:v>136.39034751087979</c:v>
                </c:pt>
                <c:pt idx="71">
                  <c:v>136.39034751087979</c:v>
                </c:pt>
                <c:pt idx="72">
                  <c:v>142.21869900319297</c:v>
                </c:pt>
                <c:pt idx="73">
                  <c:v>142.21869900319297</c:v>
                </c:pt>
                <c:pt idx="74">
                  <c:v>142.21869900319297</c:v>
                </c:pt>
                <c:pt idx="75">
                  <c:v>147.42768686213654</c:v>
                </c:pt>
                <c:pt idx="76">
                  <c:v>147.42768686213654</c:v>
                </c:pt>
                <c:pt idx="77">
                  <c:v>147.42768686213654</c:v>
                </c:pt>
                <c:pt idx="78">
                  <c:v>155.4552065726302</c:v>
                </c:pt>
                <c:pt idx="79">
                  <c:v>155.4552065726302</c:v>
                </c:pt>
                <c:pt idx="80">
                  <c:v>155.4552065726302</c:v>
                </c:pt>
                <c:pt idx="81">
                  <c:v>160.58001233198883</c:v>
                </c:pt>
                <c:pt idx="82">
                  <c:v>160.58001233198883</c:v>
                </c:pt>
                <c:pt idx="83">
                  <c:v>160.58001233198883</c:v>
                </c:pt>
                <c:pt idx="84">
                  <c:v>167.77677473293693</c:v>
                </c:pt>
                <c:pt idx="85">
                  <c:v>167.77677473293693</c:v>
                </c:pt>
                <c:pt idx="86">
                  <c:v>167.77677473293693</c:v>
                </c:pt>
                <c:pt idx="87">
                  <c:v>172.82947252565572</c:v>
                </c:pt>
                <c:pt idx="88">
                  <c:v>172.82947252565572</c:v>
                </c:pt>
                <c:pt idx="89">
                  <c:v>172.82947252565572</c:v>
                </c:pt>
                <c:pt idx="90">
                  <c:v>174.62618499667633</c:v>
                </c:pt>
                <c:pt idx="91">
                  <c:v>174.62618499667633</c:v>
                </c:pt>
                <c:pt idx="92">
                  <c:v>174.62618499667633</c:v>
                </c:pt>
                <c:pt idx="93">
                  <c:v>180.02458338134062</c:v>
                </c:pt>
                <c:pt idx="94">
                  <c:v>180.02458338134062</c:v>
                </c:pt>
                <c:pt idx="95">
                  <c:v>180.02458338134062</c:v>
                </c:pt>
                <c:pt idx="96">
                  <c:v>187.60810997974357</c:v>
                </c:pt>
                <c:pt idx="97">
                  <c:v>187.60810997974357</c:v>
                </c:pt>
                <c:pt idx="98">
                  <c:v>187.60810997974357</c:v>
                </c:pt>
                <c:pt idx="99">
                  <c:v>193.32389433919923</c:v>
                </c:pt>
                <c:pt idx="100">
                  <c:v>193.32389433919923</c:v>
                </c:pt>
                <c:pt idx="101">
                  <c:v>193.32389433919923</c:v>
                </c:pt>
                <c:pt idx="102">
                  <c:v>236.79736305904493</c:v>
                </c:pt>
                <c:pt idx="103">
                  <c:v>236.79736305904493</c:v>
                </c:pt>
                <c:pt idx="104">
                  <c:v>236.79736305904493</c:v>
                </c:pt>
                <c:pt idx="105">
                  <c:v>244.90144502749442</c:v>
                </c:pt>
                <c:pt idx="106">
                  <c:v>244.90144502749442</c:v>
                </c:pt>
                <c:pt idx="107">
                  <c:v>244.90144502749442</c:v>
                </c:pt>
                <c:pt idx="108">
                  <c:v>255.19194286458801</c:v>
                </c:pt>
                <c:pt idx="109">
                  <c:v>255.19194286458801</c:v>
                </c:pt>
                <c:pt idx="110">
                  <c:v>255.19194286458801</c:v>
                </c:pt>
                <c:pt idx="111">
                  <c:v>262.11483006836966</c:v>
                </c:pt>
                <c:pt idx="112">
                  <c:v>262.11483006836966</c:v>
                </c:pt>
                <c:pt idx="113">
                  <c:v>262.11483006836966</c:v>
                </c:pt>
                <c:pt idx="114">
                  <c:v>263.9137322222943</c:v>
                </c:pt>
                <c:pt idx="115">
                  <c:v>263.9137322222943</c:v>
                </c:pt>
                <c:pt idx="116">
                  <c:v>263.9137322222943</c:v>
                </c:pt>
                <c:pt idx="117">
                  <c:v>266.26285237378926</c:v>
                </c:pt>
                <c:pt idx="118">
                  <c:v>266.26285237378926</c:v>
                </c:pt>
                <c:pt idx="119">
                  <c:v>266.26285237378926</c:v>
                </c:pt>
                <c:pt idx="120">
                  <c:v>293.5985248531307</c:v>
                </c:pt>
                <c:pt idx="121">
                  <c:v>293.5985248531307</c:v>
                </c:pt>
                <c:pt idx="122">
                  <c:v>293.5985248531307</c:v>
                </c:pt>
                <c:pt idx="123">
                  <c:v>316.15278153534501</c:v>
                </c:pt>
                <c:pt idx="124">
                  <c:v>316.15278153534501</c:v>
                </c:pt>
                <c:pt idx="125">
                  <c:v>316.15278153534501</c:v>
                </c:pt>
                <c:pt idx="126">
                  <c:v>316.64520581289304</c:v>
                </c:pt>
              </c:numCache>
            </c:numRef>
          </c:xVal>
          <c:yVal>
            <c:numRef>
              <c:f>Path!$T$4:$T$133</c:f>
              <c:numCache>
                <c:formatCode>0</c:formatCode>
                <c:ptCount val="130"/>
                <c:pt idx="1">
                  <c:v>-246.31177465608911</c:v>
                </c:pt>
                <c:pt idx="2">
                  <c:v>-246.31177465608911</c:v>
                </c:pt>
                <c:pt idx="3">
                  <c:v>-246.31177465608911</c:v>
                </c:pt>
                <c:pt idx="4">
                  <c:v>-246.31177465608911</c:v>
                </c:pt>
                <c:pt idx="5">
                  <c:v>-246.31177465608911</c:v>
                </c:pt>
                <c:pt idx="6">
                  <c:v>-270.97457874773755</c:v>
                </c:pt>
                <c:pt idx="7">
                  <c:v>-270.97457874773755</c:v>
                </c:pt>
                <c:pt idx="8">
                  <c:v>-270.97457874773755</c:v>
                </c:pt>
                <c:pt idx="9">
                  <c:v>-295.4699510990003</c:v>
                </c:pt>
                <c:pt idx="10">
                  <c:v>-295.4699510990003</c:v>
                </c:pt>
                <c:pt idx="11">
                  <c:v>-295.4699510990003</c:v>
                </c:pt>
                <c:pt idx="12">
                  <c:v>-316.00861348072738</c:v>
                </c:pt>
                <c:pt idx="13">
                  <c:v>-316.00861348072738</c:v>
                </c:pt>
                <c:pt idx="14">
                  <c:v>-316.00861348072738</c:v>
                </c:pt>
                <c:pt idx="15">
                  <c:v>-328.02943744111121</c:v>
                </c:pt>
                <c:pt idx="16">
                  <c:v>-328.02943744111121</c:v>
                </c:pt>
                <c:pt idx="17">
                  <c:v>-328.02943744111121</c:v>
                </c:pt>
                <c:pt idx="18">
                  <c:v>-336.51356503503479</c:v>
                </c:pt>
                <c:pt idx="19">
                  <c:v>-336.51356503503479</c:v>
                </c:pt>
                <c:pt idx="20">
                  <c:v>-336.51356503503479</c:v>
                </c:pt>
                <c:pt idx="21">
                  <c:v>-340.65831909907956</c:v>
                </c:pt>
                <c:pt idx="22">
                  <c:v>-340.65831909907956</c:v>
                </c:pt>
                <c:pt idx="23">
                  <c:v>-340.65831909907956</c:v>
                </c:pt>
                <c:pt idx="24">
                  <c:v>-343.37927615366362</c:v>
                </c:pt>
                <c:pt idx="25">
                  <c:v>-343.37927615366362</c:v>
                </c:pt>
                <c:pt idx="26">
                  <c:v>-343.37927615366362</c:v>
                </c:pt>
                <c:pt idx="27">
                  <c:v>-381.83919091573659</c:v>
                </c:pt>
                <c:pt idx="28">
                  <c:v>-381.83919091573659</c:v>
                </c:pt>
                <c:pt idx="29">
                  <c:v>-381.83919091573659</c:v>
                </c:pt>
                <c:pt idx="30">
                  <c:v>-388.74271043313433</c:v>
                </c:pt>
                <c:pt idx="31">
                  <c:v>-388.74271043313433</c:v>
                </c:pt>
                <c:pt idx="32">
                  <c:v>-388.74271043313433</c:v>
                </c:pt>
                <c:pt idx="33">
                  <c:v>-398.32123139293299</c:v>
                </c:pt>
                <c:pt idx="34">
                  <c:v>-398.32123139293299</c:v>
                </c:pt>
                <c:pt idx="35">
                  <c:v>-398.32123139293299</c:v>
                </c:pt>
                <c:pt idx="36">
                  <c:v>-405.45925590907109</c:v>
                </c:pt>
                <c:pt idx="37">
                  <c:v>-405.45925590907109</c:v>
                </c:pt>
                <c:pt idx="38">
                  <c:v>-405.45925590907109</c:v>
                </c:pt>
                <c:pt idx="39">
                  <c:v>-408.74979671552251</c:v>
                </c:pt>
                <c:pt idx="40">
                  <c:v>-408.74979671552251</c:v>
                </c:pt>
                <c:pt idx="41">
                  <c:v>-408.74979671552251</c:v>
                </c:pt>
                <c:pt idx="42">
                  <c:v>-415.82676930332605</c:v>
                </c:pt>
                <c:pt idx="43">
                  <c:v>-415.82676930332605</c:v>
                </c:pt>
                <c:pt idx="44">
                  <c:v>-415.82676930332605</c:v>
                </c:pt>
                <c:pt idx="45">
                  <c:v>-425.87641408277545</c:v>
                </c:pt>
                <c:pt idx="46">
                  <c:v>-425.87641408277545</c:v>
                </c:pt>
                <c:pt idx="47">
                  <c:v>-425.87641408277545</c:v>
                </c:pt>
                <c:pt idx="48">
                  <c:v>-433.52301262622001</c:v>
                </c:pt>
                <c:pt idx="49">
                  <c:v>-433.52301262622001</c:v>
                </c:pt>
                <c:pt idx="50">
                  <c:v>-433.52301262622001</c:v>
                </c:pt>
                <c:pt idx="51">
                  <c:v>-457.25590989312735</c:v>
                </c:pt>
                <c:pt idx="52">
                  <c:v>-457.25590989312735</c:v>
                </c:pt>
                <c:pt idx="53">
                  <c:v>-457.25590989312735</c:v>
                </c:pt>
                <c:pt idx="54">
                  <c:v>-460.72654634357423</c:v>
                </c:pt>
                <c:pt idx="55">
                  <c:v>-460.72654634357423</c:v>
                </c:pt>
                <c:pt idx="56">
                  <c:v>-460.72654634357423</c:v>
                </c:pt>
                <c:pt idx="57">
                  <c:v>-466.29024445886057</c:v>
                </c:pt>
                <c:pt idx="58">
                  <c:v>-466.29024445886057</c:v>
                </c:pt>
                <c:pt idx="59">
                  <c:v>-466.29024445886057</c:v>
                </c:pt>
                <c:pt idx="60">
                  <c:v>-474.38847425540865</c:v>
                </c:pt>
                <c:pt idx="61">
                  <c:v>-474.38847425540865</c:v>
                </c:pt>
                <c:pt idx="62">
                  <c:v>-474.38847425540865</c:v>
                </c:pt>
                <c:pt idx="63">
                  <c:v>-483.73443950865146</c:v>
                </c:pt>
                <c:pt idx="64">
                  <c:v>-483.73443950865146</c:v>
                </c:pt>
                <c:pt idx="65">
                  <c:v>-483.73443950865146</c:v>
                </c:pt>
                <c:pt idx="66">
                  <c:v>-489.58659698104179</c:v>
                </c:pt>
                <c:pt idx="67">
                  <c:v>-489.58659698104179</c:v>
                </c:pt>
                <c:pt idx="68">
                  <c:v>-489.58659698104179</c:v>
                </c:pt>
                <c:pt idx="69">
                  <c:v>-496.25284303145952</c:v>
                </c:pt>
                <c:pt idx="70">
                  <c:v>-496.25284303145952</c:v>
                </c:pt>
                <c:pt idx="71">
                  <c:v>-496.25284303145952</c:v>
                </c:pt>
                <c:pt idx="72">
                  <c:v>-506.9335431355467</c:v>
                </c:pt>
                <c:pt idx="73">
                  <c:v>-506.9335431355467</c:v>
                </c:pt>
                <c:pt idx="74">
                  <c:v>-506.9335431355467</c:v>
                </c:pt>
                <c:pt idx="75">
                  <c:v>-516.4792332403016</c:v>
                </c:pt>
                <c:pt idx="76">
                  <c:v>-516.4792332403016</c:v>
                </c:pt>
                <c:pt idx="77">
                  <c:v>-516.4792332403016</c:v>
                </c:pt>
                <c:pt idx="78">
                  <c:v>-531.19000192343788</c:v>
                </c:pt>
                <c:pt idx="79">
                  <c:v>-531.19000192343788</c:v>
                </c:pt>
                <c:pt idx="80">
                  <c:v>-531.19000192343788</c:v>
                </c:pt>
                <c:pt idx="81">
                  <c:v>-540.58142477767012</c:v>
                </c:pt>
                <c:pt idx="82">
                  <c:v>-540.58142477767012</c:v>
                </c:pt>
                <c:pt idx="83">
                  <c:v>-540.58142477767012</c:v>
                </c:pt>
                <c:pt idx="84">
                  <c:v>-553.76979562769066</c:v>
                </c:pt>
                <c:pt idx="85">
                  <c:v>-553.76979562769066</c:v>
                </c:pt>
                <c:pt idx="86">
                  <c:v>-553.76979562769066</c:v>
                </c:pt>
                <c:pt idx="87">
                  <c:v>-563.0290775896292</c:v>
                </c:pt>
                <c:pt idx="88">
                  <c:v>-563.0290775896292</c:v>
                </c:pt>
                <c:pt idx="89">
                  <c:v>-563.0290775896292</c:v>
                </c:pt>
                <c:pt idx="90">
                  <c:v>-566.32162902575203</c:v>
                </c:pt>
                <c:pt idx="91">
                  <c:v>-566.32162902575203</c:v>
                </c:pt>
                <c:pt idx="92">
                  <c:v>-566.32162902575203</c:v>
                </c:pt>
                <c:pt idx="93">
                  <c:v>-576.214421913249</c:v>
                </c:pt>
                <c:pt idx="94">
                  <c:v>-576.214421913249</c:v>
                </c:pt>
                <c:pt idx="95">
                  <c:v>-576.214421913249</c:v>
                </c:pt>
                <c:pt idx="96">
                  <c:v>-590.11155447907572</c:v>
                </c:pt>
                <c:pt idx="97">
                  <c:v>-590.11155447907572</c:v>
                </c:pt>
                <c:pt idx="98">
                  <c:v>-590.11155447907572</c:v>
                </c:pt>
                <c:pt idx="99">
                  <c:v>-600.58597056113467</c:v>
                </c:pt>
                <c:pt idx="100">
                  <c:v>-600.58597056113467</c:v>
                </c:pt>
                <c:pt idx="101">
                  <c:v>-600.58597056113467</c:v>
                </c:pt>
                <c:pt idx="102">
                  <c:v>-680.25293685400027</c:v>
                </c:pt>
                <c:pt idx="103">
                  <c:v>-680.25293685400027</c:v>
                </c:pt>
                <c:pt idx="104">
                  <c:v>-680.25293685400027</c:v>
                </c:pt>
                <c:pt idx="105">
                  <c:v>-741.60056395023139</c:v>
                </c:pt>
                <c:pt idx="106">
                  <c:v>-741.60056395023139</c:v>
                </c:pt>
                <c:pt idx="107">
                  <c:v>-741.60056395023139</c:v>
                </c:pt>
                <c:pt idx="108">
                  <c:v>-819.49928540965584</c:v>
                </c:pt>
                <c:pt idx="109">
                  <c:v>-819.49928540965584</c:v>
                </c:pt>
                <c:pt idx="110">
                  <c:v>-819.49928540965584</c:v>
                </c:pt>
                <c:pt idx="111">
                  <c:v>-871.90530798695727</c:v>
                </c:pt>
                <c:pt idx="112">
                  <c:v>-871.90530798695727</c:v>
                </c:pt>
                <c:pt idx="113">
                  <c:v>-871.90530798695727</c:v>
                </c:pt>
                <c:pt idx="114">
                  <c:v>-885.52293660315581</c:v>
                </c:pt>
                <c:pt idx="115">
                  <c:v>-885.52293660315581</c:v>
                </c:pt>
                <c:pt idx="116">
                  <c:v>-885.52293660315581</c:v>
                </c:pt>
                <c:pt idx="117">
                  <c:v>-903.30569689842559</c:v>
                </c:pt>
                <c:pt idx="118">
                  <c:v>-903.30569689842559</c:v>
                </c:pt>
                <c:pt idx="119">
                  <c:v>-903.30569689842559</c:v>
                </c:pt>
                <c:pt idx="120">
                  <c:v>-1110.2358153518292</c:v>
                </c:pt>
                <c:pt idx="121">
                  <c:v>-1110.2358153518292</c:v>
                </c:pt>
                <c:pt idx="122">
                  <c:v>-1110.2358153518292</c:v>
                </c:pt>
                <c:pt idx="123">
                  <c:v>-1280.970777530141</c:v>
                </c:pt>
                <c:pt idx="124">
                  <c:v>-1280.970777530141</c:v>
                </c:pt>
                <c:pt idx="125">
                  <c:v>-1280.970777530141</c:v>
                </c:pt>
                <c:pt idx="126">
                  <c:v>-1284.6984126984125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9A7-4853-8043-3C12ABE7DA07}"/>
            </c:ext>
          </c:extLst>
        </c:ser>
        <c:ser>
          <c:idx val="4"/>
          <c:order val="4"/>
          <c:tx>
            <c:v>Error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Path!$N$4:$N$133</c:f>
              <c:numCache>
                <c:formatCode>0.0</c:formatCode>
                <c:ptCount val="1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13.458246147851355</c:v>
                </c:pt>
                <c:pt idx="7">
                  <c:v>13.458246147851355</c:v>
                </c:pt>
                <c:pt idx="8">
                  <c:v>13.458246147851355</c:v>
                </c:pt>
                <c:pt idx="9">
                  <c:v>26.825126465333199</c:v>
                </c:pt>
                <c:pt idx="10">
                  <c:v>26.825126465333199</c:v>
                </c:pt>
                <c:pt idx="11">
                  <c:v>26.825126465333199</c:v>
                </c:pt>
                <c:pt idx="12">
                  <c:v>38.032869625994323</c:v>
                </c:pt>
                <c:pt idx="13">
                  <c:v>38.032869625994323</c:v>
                </c:pt>
                <c:pt idx="14">
                  <c:v>38.032869625994323</c:v>
                </c:pt>
                <c:pt idx="15">
                  <c:v>44.592513337133298</c:v>
                </c:pt>
                <c:pt idx="16">
                  <c:v>44.592513337133298</c:v>
                </c:pt>
                <c:pt idx="17">
                  <c:v>44.592513337133298</c:v>
                </c:pt>
                <c:pt idx="18">
                  <c:v>49.222217124443787</c:v>
                </c:pt>
                <c:pt idx="19">
                  <c:v>49.222217124443787</c:v>
                </c:pt>
                <c:pt idx="20">
                  <c:v>49.222217124443787</c:v>
                </c:pt>
                <c:pt idx="21">
                  <c:v>51.483968067642941</c:v>
                </c:pt>
                <c:pt idx="22">
                  <c:v>51.483968067642941</c:v>
                </c:pt>
                <c:pt idx="23">
                  <c:v>51.483968067642941</c:v>
                </c:pt>
                <c:pt idx="24">
                  <c:v>52.968767187087977</c:v>
                </c:pt>
                <c:pt idx="25">
                  <c:v>52.968767187087977</c:v>
                </c:pt>
                <c:pt idx="26">
                  <c:v>52.968767187087977</c:v>
                </c:pt>
                <c:pt idx="27">
                  <c:v>73.955958982875543</c:v>
                </c:pt>
                <c:pt idx="28">
                  <c:v>73.955958982875543</c:v>
                </c:pt>
                <c:pt idx="29">
                  <c:v>73.955958982875543</c:v>
                </c:pt>
                <c:pt idx="30">
                  <c:v>77.723140711537795</c:v>
                </c:pt>
                <c:pt idx="31">
                  <c:v>77.723140711537795</c:v>
                </c:pt>
                <c:pt idx="32">
                  <c:v>77.723140711537795</c:v>
                </c:pt>
                <c:pt idx="33">
                  <c:v>82.950044040546345</c:v>
                </c:pt>
                <c:pt idx="34">
                  <c:v>82.950044040546345</c:v>
                </c:pt>
                <c:pt idx="35">
                  <c:v>82.950044040546345</c:v>
                </c:pt>
                <c:pt idx="36">
                  <c:v>86.845192807515417</c:v>
                </c:pt>
                <c:pt idx="37">
                  <c:v>86.845192807515417</c:v>
                </c:pt>
                <c:pt idx="38">
                  <c:v>86.845192807515417</c:v>
                </c:pt>
                <c:pt idx="39">
                  <c:v>88.640808097983111</c:v>
                </c:pt>
                <c:pt idx="40">
                  <c:v>88.640808097983111</c:v>
                </c:pt>
                <c:pt idx="41">
                  <c:v>88.640808097983111</c:v>
                </c:pt>
                <c:pt idx="42">
                  <c:v>92.502641436735871</c:v>
                </c:pt>
                <c:pt idx="43">
                  <c:v>92.502641436735871</c:v>
                </c:pt>
                <c:pt idx="44">
                  <c:v>92.502641436735871</c:v>
                </c:pt>
                <c:pt idx="45">
                  <c:v>97.98663233402803</c:v>
                </c:pt>
                <c:pt idx="46">
                  <c:v>97.98663233402803</c:v>
                </c:pt>
                <c:pt idx="47">
                  <c:v>97.98663233402803</c:v>
                </c:pt>
                <c:pt idx="48">
                  <c:v>102.15930487398168</c:v>
                </c:pt>
                <c:pt idx="49">
                  <c:v>102.15930487398168</c:v>
                </c:pt>
                <c:pt idx="50">
                  <c:v>102.15930487398168</c:v>
                </c:pt>
                <c:pt idx="51">
                  <c:v>115.11011014465514</c:v>
                </c:pt>
                <c:pt idx="52">
                  <c:v>115.11011014465514</c:v>
                </c:pt>
                <c:pt idx="53">
                  <c:v>115.11011014465514</c:v>
                </c:pt>
                <c:pt idx="54">
                  <c:v>117.00400183135253</c:v>
                </c:pt>
                <c:pt idx="55">
                  <c:v>117.00400183135253</c:v>
                </c:pt>
                <c:pt idx="56">
                  <c:v>117.00400183135253</c:v>
                </c:pt>
                <c:pt idx="57">
                  <c:v>120.04005638742048</c:v>
                </c:pt>
                <c:pt idx="58">
                  <c:v>120.04005638742048</c:v>
                </c:pt>
                <c:pt idx="59">
                  <c:v>120.04005638742048</c:v>
                </c:pt>
                <c:pt idx="60">
                  <c:v>124.4591795965577</c:v>
                </c:pt>
                <c:pt idx="61">
                  <c:v>124.4591795965577</c:v>
                </c:pt>
                <c:pt idx="62">
                  <c:v>124.4591795965577</c:v>
                </c:pt>
                <c:pt idx="63">
                  <c:v>129.5591795965577</c:v>
                </c:pt>
                <c:pt idx="64">
                  <c:v>129.5591795965577</c:v>
                </c:pt>
                <c:pt idx="65">
                  <c:v>129.5591795965577</c:v>
                </c:pt>
                <c:pt idx="66">
                  <c:v>132.75264354602351</c:v>
                </c:pt>
                <c:pt idx="67">
                  <c:v>132.75264354602351</c:v>
                </c:pt>
                <c:pt idx="68">
                  <c:v>132.75264354602351</c:v>
                </c:pt>
                <c:pt idx="69">
                  <c:v>136.39034751087979</c:v>
                </c:pt>
                <c:pt idx="70">
                  <c:v>136.39034751087979</c:v>
                </c:pt>
                <c:pt idx="71">
                  <c:v>136.39034751087979</c:v>
                </c:pt>
                <c:pt idx="72">
                  <c:v>142.21869900319297</c:v>
                </c:pt>
                <c:pt idx="73">
                  <c:v>142.21869900319297</c:v>
                </c:pt>
                <c:pt idx="74">
                  <c:v>142.21869900319297</c:v>
                </c:pt>
                <c:pt idx="75">
                  <c:v>147.42768686213654</c:v>
                </c:pt>
                <c:pt idx="76">
                  <c:v>147.42768686213654</c:v>
                </c:pt>
                <c:pt idx="77">
                  <c:v>147.42768686213654</c:v>
                </c:pt>
                <c:pt idx="78">
                  <c:v>155.4552065726302</c:v>
                </c:pt>
                <c:pt idx="79">
                  <c:v>155.4552065726302</c:v>
                </c:pt>
                <c:pt idx="80">
                  <c:v>155.4552065726302</c:v>
                </c:pt>
                <c:pt idx="81">
                  <c:v>160.58001233198883</c:v>
                </c:pt>
                <c:pt idx="82">
                  <c:v>160.58001233198883</c:v>
                </c:pt>
                <c:pt idx="83">
                  <c:v>160.58001233198883</c:v>
                </c:pt>
                <c:pt idx="84">
                  <c:v>167.77677473293693</c:v>
                </c:pt>
                <c:pt idx="85">
                  <c:v>167.77677473293693</c:v>
                </c:pt>
                <c:pt idx="86">
                  <c:v>167.77677473293693</c:v>
                </c:pt>
                <c:pt idx="87">
                  <c:v>172.82947252565572</c:v>
                </c:pt>
                <c:pt idx="88">
                  <c:v>172.82947252565572</c:v>
                </c:pt>
                <c:pt idx="89">
                  <c:v>172.82947252565572</c:v>
                </c:pt>
                <c:pt idx="90">
                  <c:v>174.62618499667633</c:v>
                </c:pt>
                <c:pt idx="91">
                  <c:v>174.62618499667633</c:v>
                </c:pt>
                <c:pt idx="92">
                  <c:v>174.62618499667633</c:v>
                </c:pt>
                <c:pt idx="93">
                  <c:v>180.02458338134062</c:v>
                </c:pt>
                <c:pt idx="94">
                  <c:v>180.02458338134062</c:v>
                </c:pt>
                <c:pt idx="95">
                  <c:v>180.02458338134062</c:v>
                </c:pt>
                <c:pt idx="96">
                  <c:v>187.60810997974357</c:v>
                </c:pt>
                <c:pt idx="97">
                  <c:v>187.60810997974357</c:v>
                </c:pt>
                <c:pt idx="98">
                  <c:v>187.60810997974357</c:v>
                </c:pt>
                <c:pt idx="99">
                  <c:v>193.32389433919923</c:v>
                </c:pt>
                <c:pt idx="100">
                  <c:v>193.32389433919923</c:v>
                </c:pt>
                <c:pt idx="101">
                  <c:v>193.32389433919923</c:v>
                </c:pt>
                <c:pt idx="102">
                  <c:v>236.79736305904493</c:v>
                </c:pt>
                <c:pt idx="103">
                  <c:v>236.79736305904493</c:v>
                </c:pt>
                <c:pt idx="104">
                  <c:v>236.79736305904493</c:v>
                </c:pt>
                <c:pt idx="105">
                  <c:v>244.90144502749442</c:v>
                </c:pt>
                <c:pt idx="106">
                  <c:v>244.90144502749442</c:v>
                </c:pt>
                <c:pt idx="107">
                  <c:v>244.90144502749442</c:v>
                </c:pt>
                <c:pt idx="108">
                  <c:v>255.19194286458801</c:v>
                </c:pt>
                <c:pt idx="109">
                  <c:v>255.19194286458801</c:v>
                </c:pt>
                <c:pt idx="110">
                  <c:v>255.19194286458801</c:v>
                </c:pt>
                <c:pt idx="111">
                  <c:v>262.11483006836966</c:v>
                </c:pt>
                <c:pt idx="112">
                  <c:v>262.11483006836966</c:v>
                </c:pt>
                <c:pt idx="113">
                  <c:v>262.11483006836966</c:v>
                </c:pt>
                <c:pt idx="114">
                  <c:v>263.9137322222943</c:v>
                </c:pt>
                <c:pt idx="115">
                  <c:v>263.9137322222943</c:v>
                </c:pt>
                <c:pt idx="116">
                  <c:v>263.9137322222943</c:v>
                </c:pt>
                <c:pt idx="117">
                  <c:v>266.26285237378926</c:v>
                </c:pt>
                <c:pt idx="118">
                  <c:v>266.26285237378926</c:v>
                </c:pt>
                <c:pt idx="119">
                  <c:v>266.26285237378926</c:v>
                </c:pt>
                <c:pt idx="120">
                  <c:v>293.5985248531307</c:v>
                </c:pt>
                <c:pt idx="121">
                  <c:v>293.5985248531307</c:v>
                </c:pt>
                <c:pt idx="122">
                  <c:v>293.5985248531307</c:v>
                </c:pt>
                <c:pt idx="123">
                  <c:v>316.15278153534501</c:v>
                </c:pt>
                <c:pt idx="124">
                  <c:v>316.15278153534501</c:v>
                </c:pt>
                <c:pt idx="125">
                  <c:v>316.15278153534501</c:v>
                </c:pt>
                <c:pt idx="126">
                  <c:v>316.64520581289304</c:v>
                </c:pt>
              </c:numCache>
            </c:numRef>
          </c:xVal>
          <c:yVal>
            <c:numRef>
              <c:f>Path!$R$4:$R$133</c:f>
              <c:numCache>
                <c:formatCode>0.0</c:formatCode>
                <c:ptCount val="13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-2.9613983152020182</c:v>
                </c:pt>
                <c:pt idx="7">
                  <c:v>-2.9613983152020182</c:v>
                </c:pt>
                <c:pt idx="8">
                  <c:v>-2.9613983152020182</c:v>
                </c:pt>
                <c:pt idx="9">
                  <c:v>0.59704847972136577</c:v>
                </c:pt>
                <c:pt idx="10">
                  <c:v>0.59704847972136577</c:v>
                </c:pt>
                <c:pt idx="11">
                  <c:v>0.59704847972136577</c:v>
                </c:pt>
                <c:pt idx="12">
                  <c:v>46.599390797510296</c:v>
                </c:pt>
                <c:pt idx="13">
                  <c:v>46.599390797510296</c:v>
                </c:pt>
                <c:pt idx="14">
                  <c:v>46.599390797510296</c:v>
                </c:pt>
                <c:pt idx="15">
                  <c:v>96.097478409203745</c:v>
                </c:pt>
                <c:pt idx="16">
                  <c:v>96.097478409203745</c:v>
                </c:pt>
                <c:pt idx="17">
                  <c:v>96.097478409203745</c:v>
                </c:pt>
                <c:pt idx="18">
                  <c:v>58.56907434416587</c:v>
                </c:pt>
                <c:pt idx="19">
                  <c:v>58.56907434416587</c:v>
                </c:pt>
                <c:pt idx="20">
                  <c:v>58.56907434416587</c:v>
                </c:pt>
                <c:pt idx="21">
                  <c:v>17.442631812878403</c:v>
                </c:pt>
                <c:pt idx="22">
                  <c:v>17.442631812878403</c:v>
                </c:pt>
                <c:pt idx="23">
                  <c:v>17.442631812878403</c:v>
                </c:pt>
                <c:pt idx="24">
                  <c:v>12.000717703710279</c:v>
                </c:pt>
                <c:pt idx="25">
                  <c:v>12.000717703710279</c:v>
                </c:pt>
                <c:pt idx="26">
                  <c:v>12.000717703710279</c:v>
                </c:pt>
                <c:pt idx="27">
                  <c:v>13.646576881531928</c:v>
                </c:pt>
                <c:pt idx="28">
                  <c:v>13.646576881531928</c:v>
                </c:pt>
                <c:pt idx="29">
                  <c:v>13.646576881531928</c:v>
                </c:pt>
                <c:pt idx="30">
                  <c:v>110.89516878188488</c:v>
                </c:pt>
                <c:pt idx="31">
                  <c:v>110.89516878188488</c:v>
                </c:pt>
                <c:pt idx="32">
                  <c:v>110.89516878188488</c:v>
                </c:pt>
                <c:pt idx="33">
                  <c:v>124.09544743482775</c:v>
                </c:pt>
                <c:pt idx="34">
                  <c:v>124.09544743482775</c:v>
                </c:pt>
                <c:pt idx="35">
                  <c:v>124.09544743482775</c:v>
                </c:pt>
                <c:pt idx="36">
                  <c:v>24.38522022338509</c:v>
                </c:pt>
                <c:pt idx="37">
                  <c:v>24.38522022338509</c:v>
                </c:pt>
                <c:pt idx="38">
                  <c:v>24.38522022338509</c:v>
                </c:pt>
                <c:pt idx="39">
                  <c:v>17.804138610482255</c:v>
                </c:pt>
                <c:pt idx="40">
                  <c:v>17.804138610482255</c:v>
                </c:pt>
                <c:pt idx="41">
                  <c:v>17.804138610482255</c:v>
                </c:pt>
                <c:pt idx="42">
                  <c:v>113.46077601571335</c:v>
                </c:pt>
                <c:pt idx="43">
                  <c:v>113.46077601571335</c:v>
                </c:pt>
                <c:pt idx="44">
                  <c:v>113.46077601571335</c:v>
                </c:pt>
                <c:pt idx="45">
                  <c:v>101.58875252651819</c:v>
                </c:pt>
                <c:pt idx="46">
                  <c:v>101.58875252651819</c:v>
                </c:pt>
                <c:pt idx="47">
                  <c:v>101.58875252651819</c:v>
                </c:pt>
                <c:pt idx="48">
                  <c:v>-9.4132033917832132</c:v>
                </c:pt>
                <c:pt idx="49">
                  <c:v>-9.4132033917832132</c:v>
                </c:pt>
                <c:pt idx="50">
                  <c:v>-9.4132033917832132</c:v>
                </c:pt>
                <c:pt idx="51">
                  <c:v>-6.6531715608133482</c:v>
                </c:pt>
                <c:pt idx="52">
                  <c:v>-6.6531715608133482</c:v>
                </c:pt>
                <c:pt idx="53">
                  <c:v>-6.6531715608133482</c:v>
                </c:pt>
                <c:pt idx="54">
                  <c:v>29.322987922619063</c:v>
                </c:pt>
                <c:pt idx="55">
                  <c:v>29.322987922619063</c:v>
                </c:pt>
                <c:pt idx="56">
                  <c:v>29.322987922619063</c:v>
                </c:pt>
                <c:pt idx="57">
                  <c:v>83.89716402966485</c:v>
                </c:pt>
                <c:pt idx="58">
                  <c:v>83.89716402966485</c:v>
                </c:pt>
                <c:pt idx="59">
                  <c:v>83.89716402966485</c:v>
                </c:pt>
                <c:pt idx="60">
                  <c:v>16.554708626382762</c:v>
                </c:pt>
                <c:pt idx="61">
                  <c:v>16.554708626382762</c:v>
                </c:pt>
                <c:pt idx="62">
                  <c:v>16.554708626382762</c:v>
                </c:pt>
                <c:pt idx="63">
                  <c:v>10.977304203982499</c:v>
                </c:pt>
                <c:pt idx="64">
                  <c:v>10.977304203982499</c:v>
                </c:pt>
                <c:pt idx="65">
                  <c:v>10.977304203982499</c:v>
                </c:pt>
                <c:pt idx="66">
                  <c:v>102.27469116827865</c:v>
                </c:pt>
                <c:pt idx="67">
                  <c:v>102.27469116827865</c:v>
                </c:pt>
                <c:pt idx="68">
                  <c:v>102.27469116827865</c:v>
                </c:pt>
                <c:pt idx="69">
                  <c:v>254.90974262620898</c:v>
                </c:pt>
                <c:pt idx="70">
                  <c:v>254.90974262620898</c:v>
                </c:pt>
                <c:pt idx="71">
                  <c:v>254.90974262620898</c:v>
                </c:pt>
                <c:pt idx="72">
                  <c:v>128.40533626992817</c:v>
                </c:pt>
                <c:pt idx="73">
                  <c:v>128.40533626992817</c:v>
                </c:pt>
                <c:pt idx="74">
                  <c:v>128.40533626992817</c:v>
                </c:pt>
                <c:pt idx="75">
                  <c:v>-18.687438536885111</c:v>
                </c:pt>
                <c:pt idx="76">
                  <c:v>-18.687438536885111</c:v>
                </c:pt>
                <c:pt idx="77">
                  <c:v>-18.687438536885111</c:v>
                </c:pt>
                <c:pt idx="78">
                  <c:v>-18.0634927690935</c:v>
                </c:pt>
                <c:pt idx="79">
                  <c:v>-18.0634927690935</c:v>
                </c:pt>
                <c:pt idx="80">
                  <c:v>-18.0634927690935</c:v>
                </c:pt>
                <c:pt idx="81">
                  <c:v>115.68115468347719</c:v>
                </c:pt>
                <c:pt idx="82">
                  <c:v>115.68115468347719</c:v>
                </c:pt>
                <c:pt idx="83">
                  <c:v>115.68115468347719</c:v>
                </c:pt>
                <c:pt idx="84">
                  <c:v>133.69966706153218</c:v>
                </c:pt>
                <c:pt idx="85">
                  <c:v>133.69966706153218</c:v>
                </c:pt>
                <c:pt idx="86">
                  <c:v>133.69966706153218</c:v>
                </c:pt>
                <c:pt idx="87">
                  <c:v>9.8152466722729059</c:v>
                </c:pt>
                <c:pt idx="88">
                  <c:v>9.8152466722729059</c:v>
                </c:pt>
                <c:pt idx="89">
                  <c:v>9.8152466722729059</c:v>
                </c:pt>
                <c:pt idx="90">
                  <c:v>9.9561776896646279</c:v>
                </c:pt>
                <c:pt idx="91">
                  <c:v>9.9561776896646279</c:v>
                </c:pt>
                <c:pt idx="92">
                  <c:v>9.9561776896646279</c:v>
                </c:pt>
                <c:pt idx="93">
                  <c:v>146.14363612731381</c:v>
                </c:pt>
                <c:pt idx="94">
                  <c:v>146.14363612731381</c:v>
                </c:pt>
                <c:pt idx="95">
                  <c:v>146.14363612731381</c:v>
                </c:pt>
                <c:pt idx="96">
                  <c:v>146.00505920240403</c:v>
                </c:pt>
                <c:pt idx="97">
                  <c:v>146.00505920240403</c:v>
                </c:pt>
                <c:pt idx="98">
                  <c:v>146.00505920240403</c:v>
                </c:pt>
                <c:pt idx="99">
                  <c:v>-3.4092797254875222</c:v>
                </c:pt>
                <c:pt idx="100">
                  <c:v>-3.4092797254875222</c:v>
                </c:pt>
                <c:pt idx="101">
                  <c:v>-3.4092797254875222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156.36121880611063</c:v>
                </c:pt>
                <c:pt idx="106">
                  <c:v>156.36121880611063</c:v>
                </c:pt>
                <c:pt idx="107">
                  <c:v>156.36121880611063</c:v>
                </c:pt>
                <c:pt idx="108">
                  <c:v>271.05096670714374</c:v>
                </c:pt>
                <c:pt idx="109">
                  <c:v>271.05096670714374</c:v>
                </c:pt>
                <c:pt idx="110">
                  <c:v>271.05096670714374</c:v>
                </c:pt>
                <c:pt idx="111">
                  <c:v>42.243331227725093</c:v>
                </c:pt>
                <c:pt idx="112">
                  <c:v>42.243331227725093</c:v>
                </c:pt>
                <c:pt idx="113">
                  <c:v>42.243331227725093</c:v>
                </c:pt>
                <c:pt idx="114">
                  <c:v>21.742275884068249</c:v>
                </c:pt>
                <c:pt idx="115">
                  <c:v>21.742275884068249</c:v>
                </c:pt>
                <c:pt idx="116">
                  <c:v>21.742275884068249</c:v>
                </c:pt>
                <c:pt idx="117">
                  <c:v>7.316988414098887</c:v>
                </c:pt>
                <c:pt idx="118">
                  <c:v>7.316988414098887</c:v>
                </c:pt>
                <c:pt idx="119">
                  <c:v>7.316988414098887</c:v>
                </c:pt>
                <c:pt idx="120">
                  <c:v>-12.94318713010307</c:v>
                </c:pt>
                <c:pt idx="121">
                  <c:v>-12.94318713010307</c:v>
                </c:pt>
                <c:pt idx="122">
                  <c:v>-12.94318713010307</c:v>
                </c:pt>
                <c:pt idx="123">
                  <c:v>-6.9785814512906654</c:v>
                </c:pt>
                <c:pt idx="124">
                  <c:v>-6.9785814512906654</c:v>
                </c:pt>
                <c:pt idx="125">
                  <c:v>-6.9785814512906654</c:v>
                </c:pt>
                <c:pt idx="12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9A7-4853-8043-3C12ABE7DA07}"/>
            </c:ext>
          </c:extLst>
        </c:ser>
        <c:ser>
          <c:idx val="5"/>
          <c:order val="5"/>
          <c:tx>
            <c:v>S1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Guides!$C$42:$C$53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3">
                  <c:v>26.825126465333199</c:v>
                </c:pt>
                <c:pt idx="4">
                  <c:v>26.825126465333199</c:v>
                </c:pt>
                <c:pt idx="6">
                  <c:v>236.79736305904493</c:v>
                </c:pt>
                <c:pt idx="7">
                  <c:v>236.79736305904493</c:v>
                </c:pt>
                <c:pt idx="9">
                  <c:v>293.5985248531307</c:v>
                </c:pt>
                <c:pt idx="10">
                  <c:v>293.5985248531307</c:v>
                </c:pt>
              </c:numCache>
            </c:numRef>
          </c:xVal>
          <c:yVal>
            <c:numRef>
              <c:f>Guides!$D$42:$D$43</c:f>
              <c:numCache>
                <c:formatCode>0.0</c:formatCode>
                <c:ptCount val="2"/>
                <c:pt idx="0">
                  <c:v>1284.6984126984125</c:v>
                </c:pt>
                <c:pt idx="1">
                  <c:v>-1284.6984126984125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9A7-4853-8043-3C12ABE7DA07}"/>
            </c:ext>
          </c:extLst>
        </c:ser>
        <c:ser>
          <c:idx val="6"/>
          <c:order val="6"/>
          <c:tx>
            <c:v>S2</c:v>
          </c:tx>
          <c:spPr>
            <a:ln w="25400"/>
          </c:spPr>
          <c:marker>
            <c:symbol val="none"/>
          </c:marker>
          <c:dPt>
            <c:idx val="1"/>
            <c:bubble3D val="0"/>
            <c:spPr>
              <a:ln w="254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9A7-4853-8043-3C12ABE7DA07}"/>
              </c:ext>
            </c:extLst>
          </c:dPt>
          <c:xVal>
            <c:numRef>
              <c:f>Guides!$C$45:$C$46</c:f>
              <c:numCache>
                <c:formatCode>0.0</c:formatCode>
                <c:ptCount val="2"/>
                <c:pt idx="0">
                  <c:v>26.825126465333199</c:v>
                </c:pt>
                <c:pt idx="1">
                  <c:v>26.825126465333199</c:v>
                </c:pt>
              </c:numCache>
            </c:numRef>
          </c:xVal>
          <c:yVal>
            <c:numRef>
              <c:f>Guides!$D$45:$D$46</c:f>
              <c:numCache>
                <c:formatCode>0.0</c:formatCode>
                <c:ptCount val="2"/>
                <c:pt idx="0">
                  <c:v>1284.6984126984125</c:v>
                </c:pt>
                <c:pt idx="1">
                  <c:v>-1284.6984126984125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9A7-4853-8043-3C12ABE7DA07}"/>
            </c:ext>
          </c:extLst>
        </c:ser>
        <c:ser>
          <c:idx val="7"/>
          <c:order val="7"/>
          <c:tx>
            <c:v>S3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Guides!$C$48:$C$49</c:f>
              <c:numCache>
                <c:formatCode>0.0</c:formatCode>
                <c:ptCount val="2"/>
                <c:pt idx="0">
                  <c:v>236.79736305904493</c:v>
                </c:pt>
                <c:pt idx="1">
                  <c:v>236.79736305904493</c:v>
                </c:pt>
              </c:numCache>
            </c:numRef>
          </c:xVal>
          <c:yVal>
            <c:numRef>
              <c:f>Guides!$D$48:$D$49</c:f>
              <c:numCache>
                <c:formatCode>0.0</c:formatCode>
                <c:ptCount val="2"/>
                <c:pt idx="0">
                  <c:v>1284.6984126984125</c:v>
                </c:pt>
                <c:pt idx="1">
                  <c:v>-1284.6984126984125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9A7-4853-8043-3C12ABE7DA07}"/>
            </c:ext>
          </c:extLst>
        </c:ser>
        <c:ser>
          <c:idx val="8"/>
          <c:order val="8"/>
          <c:tx>
            <c:v>S4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Guides!$C$51:$C$52</c:f>
              <c:numCache>
                <c:formatCode>0.0</c:formatCode>
                <c:ptCount val="2"/>
                <c:pt idx="0">
                  <c:v>293.5985248531307</c:v>
                </c:pt>
                <c:pt idx="1">
                  <c:v>293.5985248531307</c:v>
                </c:pt>
              </c:numCache>
            </c:numRef>
          </c:xVal>
          <c:yVal>
            <c:numRef>
              <c:f>Guides!$D$51:$D$52</c:f>
              <c:numCache>
                <c:formatCode>0.0</c:formatCode>
                <c:ptCount val="2"/>
                <c:pt idx="0">
                  <c:v>1284.6984126984125</c:v>
                </c:pt>
                <c:pt idx="1">
                  <c:v>-1284.6984126984125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9A7-4853-8043-3C12ABE7DA07}"/>
            </c:ext>
          </c:extLst>
        </c:ser>
        <c:ser>
          <c:idx val="9"/>
          <c:order val="9"/>
          <c:tx>
            <c:v>S5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Guides!$C$54:$C$55</c:f>
              <c:numCache>
                <c:formatCode>0.0</c:formatCode>
                <c:ptCount val="2"/>
                <c:pt idx="0">
                  <c:v>316.64520581289304</c:v>
                </c:pt>
                <c:pt idx="1">
                  <c:v>316.64520581289304</c:v>
                </c:pt>
              </c:numCache>
            </c:numRef>
          </c:xVal>
          <c:yVal>
            <c:numRef>
              <c:f>Guides!$D$54:$D$55</c:f>
              <c:numCache>
                <c:formatCode>0.0</c:formatCode>
                <c:ptCount val="2"/>
                <c:pt idx="0">
                  <c:v>1284.6984126984125</c:v>
                </c:pt>
                <c:pt idx="1">
                  <c:v>-1284.6984126984125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9A7-4853-8043-3C12ABE7D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042624"/>
        <c:axId val="204044544"/>
      </c:scatterChart>
      <c:valAx>
        <c:axId val="20404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Length</a:t>
                </a:r>
              </a:p>
            </c:rich>
          </c:tx>
          <c:layout>
            <c:manualLayout>
              <c:xMode val="edge"/>
              <c:yMode val="edge"/>
              <c:x val="0.49832214765100669"/>
              <c:y val="0.8991623873102818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044544"/>
        <c:crosses val="autoZero"/>
        <c:crossBetween val="midCat"/>
      </c:valAx>
      <c:valAx>
        <c:axId val="204044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Area</a:t>
                </a:r>
              </a:p>
            </c:rich>
          </c:tx>
          <c:layout>
            <c:manualLayout>
              <c:xMode val="edge"/>
              <c:yMode val="edge"/>
              <c:x val="2.6845637583892617E-2"/>
              <c:y val="0.45098177945148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04262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08921868121155E-2"/>
          <c:y val="4.6225676204367364E-2"/>
          <c:w val="0.86577181208053688"/>
          <c:h val="0.85996409335727109"/>
        </c:manualLayout>
      </c:layout>
      <c:scatterChart>
        <c:scatterStyle val="lineMarker"/>
        <c:varyColors val="0"/>
        <c:ser>
          <c:idx val="1"/>
          <c:order val="0"/>
          <c:tx>
            <c:v>Outline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Panels!$F$6:$F$94</c:f>
              <c:numCache>
                <c:formatCode>0.0</c:formatCode>
                <c:ptCount val="89"/>
                <c:pt idx="0">
                  <c:v>99.8</c:v>
                </c:pt>
                <c:pt idx="1">
                  <c:v>99.8</c:v>
                </c:pt>
                <c:pt idx="2">
                  <c:v>101.6</c:v>
                </c:pt>
                <c:pt idx="3">
                  <c:v>101.6</c:v>
                </c:pt>
                <c:pt idx="4">
                  <c:v>99.8</c:v>
                </c:pt>
                <c:pt idx="6">
                  <c:v>0</c:v>
                </c:pt>
                <c:pt idx="7">
                  <c:v>0</c:v>
                </c:pt>
                <c:pt idx="8">
                  <c:v>1.8</c:v>
                </c:pt>
                <c:pt idx="9">
                  <c:v>1.8</c:v>
                </c:pt>
                <c:pt idx="10">
                  <c:v>0</c:v>
                </c:pt>
                <c:pt idx="12">
                  <c:v>49.727094648871351</c:v>
                </c:pt>
                <c:pt idx="13">
                  <c:v>35.346013425758528</c:v>
                </c:pt>
                <c:pt idx="14">
                  <c:v>38.818420132206604</c:v>
                </c:pt>
                <c:pt idx="15">
                  <c:v>53.199501355319427</c:v>
                </c:pt>
                <c:pt idx="16">
                  <c:v>49.727094648871351</c:v>
                </c:pt>
                <c:pt idx="18">
                  <c:v>101.6</c:v>
                </c:pt>
                <c:pt idx="19">
                  <c:v>0</c:v>
                </c:pt>
                <c:pt idx="20">
                  <c:v>0</c:v>
                </c:pt>
                <c:pt idx="21">
                  <c:v>101.6</c:v>
                </c:pt>
                <c:pt idx="22">
                  <c:v>101.6</c:v>
                </c:pt>
                <c:pt idx="24">
                  <c:v>1.8</c:v>
                </c:pt>
                <c:pt idx="25">
                  <c:v>99.8</c:v>
                </c:pt>
                <c:pt idx="26">
                  <c:v>99.8</c:v>
                </c:pt>
                <c:pt idx="27">
                  <c:v>1.8</c:v>
                </c:pt>
                <c:pt idx="28">
                  <c:v>1.8</c:v>
                </c:pt>
                <c:pt idx="30">
                  <c:v>99.8</c:v>
                </c:pt>
                <c:pt idx="31">
                  <c:v>53.199501355319427</c:v>
                </c:pt>
                <c:pt idx="32">
                  <c:v>53.199501355319427</c:v>
                </c:pt>
                <c:pt idx="33">
                  <c:v>99.8</c:v>
                </c:pt>
                <c:pt idx="34">
                  <c:v>99.8</c:v>
                </c:pt>
                <c:pt idx="42">
                  <c:v>35.227189551271238</c:v>
                </c:pt>
                <c:pt idx="43">
                  <c:v>35.10162789853181</c:v>
                </c:pt>
                <c:pt idx="44">
                  <c:v>78.495664084834161</c:v>
                </c:pt>
                <c:pt idx="45">
                  <c:v>78.621225737573582</c:v>
                </c:pt>
                <c:pt idx="46">
                  <c:v>35.227189551271238</c:v>
                </c:pt>
                <c:pt idx="54">
                  <c:v>48.017890467794388</c:v>
                </c:pt>
                <c:pt idx="55">
                  <c:v>52.366353663341243</c:v>
                </c:pt>
                <c:pt idx="56">
                  <c:v>54.140087880611524</c:v>
                </c:pt>
                <c:pt idx="57">
                  <c:v>49.791624685064669</c:v>
                </c:pt>
                <c:pt idx="58">
                  <c:v>48.017890467794388</c:v>
                </c:pt>
                <c:pt idx="60">
                  <c:v>54.140087880611524</c:v>
                </c:pt>
                <c:pt idx="61">
                  <c:v>63.27661190776417</c:v>
                </c:pt>
                <c:pt idx="62">
                  <c:v>61.791812788319135</c:v>
                </c:pt>
                <c:pt idx="63">
                  <c:v>52.655288761166489</c:v>
                </c:pt>
                <c:pt idx="64">
                  <c:v>54.140087880611524</c:v>
                </c:pt>
                <c:pt idx="66">
                  <c:v>63.27661190776417</c:v>
                </c:pt>
                <c:pt idx="67">
                  <c:v>84.225456963220481</c:v>
                </c:pt>
                <c:pt idx="68">
                  <c:v>84.09989531048106</c:v>
                </c:pt>
                <c:pt idx="69">
                  <c:v>63.151050255024757</c:v>
                </c:pt>
                <c:pt idx="70">
                  <c:v>63.27661190776417</c:v>
                </c:pt>
                <c:pt idx="78">
                  <c:v>99.8</c:v>
                </c:pt>
                <c:pt idx="79">
                  <c:v>71.3</c:v>
                </c:pt>
                <c:pt idx="80">
                  <c:v>71.3</c:v>
                </c:pt>
                <c:pt idx="81">
                  <c:v>99.8</c:v>
                </c:pt>
                <c:pt idx="82">
                  <c:v>99.8</c:v>
                </c:pt>
              </c:numCache>
            </c:numRef>
          </c:xVal>
          <c:yVal>
            <c:numRef>
              <c:f>Panels!$G$6:$G$94</c:f>
              <c:numCache>
                <c:formatCode>0.0</c:formatCode>
                <c:ptCount val="89"/>
                <c:pt idx="0">
                  <c:v>81.28</c:v>
                </c:pt>
                <c:pt idx="1">
                  <c:v>0</c:v>
                </c:pt>
                <c:pt idx="2">
                  <c:v>0</c:v>
                </c:pt>
                <c:pt idx="3">
                  <c:v>81.28</c:v>
                </c:pt>
                <c:pt idx="4">
                  <c:v>81.28</c:v>
                </c:pt>
                <c:pt idx="6">
                  <c:v>81.28</c:v>
                </c:pt>
                <c:pt idx="7">
                  <c:v>0</c:v>
                </c:pt>
                <c:pt idx="8">
                  <c:v>0</c:v>
                </c:pt>
                <c:pt idx="9">
                  <c:v>81.28</c:v>
                </c:pt>
                <c:pt idx="10">
                  <c:v>81.28</c:v>
                </c:pt>
                <c:pt idx="12">
                  <c:v>82.229942979875347</c:v>
                </c:pt>
                <c:pt idx="13">
                  <c:v>29.66156367392535</c:v>
                </c:pt>
                <c:pt idx="14">
                  <c:v>28.711620694050008</c:v>
                </c:pt>
                <c:pt idx="15">
                  <c:v>81.28</c:v>
                </c:pt>
                <c:pt idx="16">
                  <c:v>82.229942979875347</c:v>
                </c:pt>
                <c:pt idx="18">
                  <c:v>81.28</c:v>
                </c:pt>
                <c:pt idx="19">
                  <c:v>81.28</c:v>
                </c:pt>
                <c:pt idx="20">
                  <c:v>0</c:v>
                </c:pt>
                <c:pt idx="21">
                  <c:v>0</c:v>
                </c:pt>
                <c:pt idx="22">
                  <c:v>81.28</c:v>
                </c:pt>
                <c:pt idx="24">
                  <c:v>1.8</c:v>
                </c:pt>
                <c:pt idx="25">
                  <c:v>1.8</c:v>
                </c:pt>
                <c:pt idx="26">
                  <c:v>0</c:v>
                </c:pt>
                <c:pt idx="27">
                  <c:v>0</c:v>
                </c:pt>
                <c:pt idx="28">
                  <c:v>1.8</c:v>
                </c:pt>
                <c:pt idx="30">
                  <c:v>81.28</c:v>
                </c:pt>
                <c:pt idx="31">
                  <c:v>81.28</c:v>
                </c:pt>
                <c:pt idx="32">
                  <c:v>79.48</c:v>
                </c:pt>
                <c:pt idx="33">
                  <c:v>79.48</c:v>
                </c:pt>
                <c:pt idx="34">
                  <c:v>81.28</c:v>
                </c:pt>
                <c:pt idx="42">
                  <c:v>28.962743999528861</c:v>
                </c:pt>
                <c:pt idx="43">
                  <c:v>27.167128709061178</c:v>
                </c:pt>
                <c:pt idx="44">
                  <c:v>24.132722101191728</c:v>
                </c:pt>
                <c:pt idx="45">
                  <c:v>25.928337391659412</c:v>
                </c:pt>
                <c:pt idx="46">
                  <c:v>28.962743999528861</c:v>
                </c:pt>
                <c:pt idx="54">
                  <c:v>28.250676581363489</c:v>
                </c:pt>
                <c:pt idx="55">
                  <c:v>53.425593375970678</c:v>
                </c:pt>
                <c:pt idx="56">
                  <c:v>53.119216277471821</c:v>
                </c:pt>
                <c:pt idx="57">
                  <c:v>27.944299482864629</c:v>
                </c:pt>
                <c:pt idx="58">
                  <c:v>28.250676581363489</c:v>
                </c:pt>
                <c:pt idx="60">
                  <c:v>53.119216277471821</c:v>
                </c:pt>
                <c:pt idx="61">
                  <c:v>66.451378307460388</c:v>
                </c:pt>
                <c:pt idx="62">
                  <c:v>67.468910407639669</c:v>
                </c:pt>
                <c:pt idx="63">
                  <c:v>54.136748377651102</c:v>
                </c:pt>
                <c:pt idx="64">
                  <c:v>53.119216277471821</c:v>
                </c:pt>
                <c:pt idx="66">
                  <c:v>66.451378307460388</c:v>
                </c:pt>
                <c:pt idx="67">
                  <c:v>64.986492358833758</c:v>
                </c:pt>
                <c:pt idx="68">
                  <c:v>63.190877068366071</c:v>
                </c:pt>
                <c:pt idx="69">
                  <c:v>64.655763016992708</c:v>
                </c:pt>
                <c:pt idx="70">
                  <c:v>66.451378307460388</c:v>
                </c:pt>
                <c:pt idx="78">
                  <c:v>45.4</c:v>
                </c:pt>
                <c:pt idx="79">
                  <c:v>45.4</c:v>
                </c:pt>
                <c:pt idx="80">
                  <c:v>47.199999999999996</c:v>
                </c:pt>
                <c:pt idx="81">
                  <c:v>47.199999999999996</c:v>
                </c:pt>
                <c:pt idx="82">
                  <c:v>45.4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A9-4E61-88EA-8754BE60521E}"/>
            </c:ext>
          </c:extLst>
        </c:ser>
        <c:ser>
          <c:idx val="5"/>
          <c:order val="1"/>
          <c:tx>
            <c:v>Sample Points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Path!$F$2:$F$133</c:f>
              <c:numCache>
                <c:formatCode>0.0</c:formatCode>
                <c:ptCount val="132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  <c:pt idx="52">
                  <c:v>0</c:v>
                </c:pt>
                <c:pt idx="54">
                  <c:v>0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67">
                  <c:v>0</c:v>
                </c:pt>
                <c:pt idx="69">
                  <c:v>0</c:v>
                </c:pt>
                <c:pt idx="70">
                  <c:v>0</c:v>
                </c:pt>
                <c:pt idx="72">
                  <c:v>0</c:v>
                </c:pt>
                <c:pt idx="73">
                  <c:v>0</c:v>
                </c:pt>
                <c:pt idx="75">
                  <c:v>0</c:v>
                </c:pt>
                <c:pt idx="76">
                  <c:v>0</c:v>
                </c:pt>
                <c:pt idx="78">
                  <c:v>0</c:v>
                </c:pt>
                <c:pt idx="79">
                  <c:v>0</c:v>
                </c:pt>
                <c:pt idx="81">
                  <c:v>0</c:v>
                </c:pt>
                <c:pt idx="82">
                  <c:v>0</c:v>
                </c:pt>
                <c:pt idx="84">
                  <c:v>0</c:v>
                </c:pt>
                <c:pt idx="85">
                  <c:v>0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0</c:v>
                </c:pt>
                <c:pt idx="93">
                  <c:v>0</c:v>
                </c:pt>
                <c:pt idx="94">
                  <c:v>0</c:v>
                </c:pt>
                <c:pt idx="96">
                  <c:v>0</c:v>
                </c:pt>
                <c:pt idx="97">
                  <c:v>0</c:v>
                </c:pt>
                <c:pt idx="99">
                  <c:v>0</c:v>
                </c:pt>
                <c:pt idx="100">
                  <c:v>0</c:v>
                </c:pt>
                <c:pt idx="102">
                  <c:v>0</c:v>
                </c:pt>
                <c:pt idx="103">
                  <c:v>0</c:v>
                </c:pt>
                <c:pt idx="105">
                  <c:v>0</c:v>
                </c:pt>
                <c:pt idx="106">
                  <c:v>0</c:v>
                </c:pt>
                <c:pt idx="108">
                  <c:v>0</c:v>
                </c:pt>
                <c:pt idx="109">
                  <c:v>0</c:v>
                </c:pt>
                <c:pt idx="111">
                  <c:v>0</c:v>
                </c:pt>
                <c:pt idx="112">
                  <c:v>0</c:v>
                </c:pt>
                <c:pt idx="114">
                  <c:v>0</c:v>
                </c:pt>
                <c:pt idx="115">
                  <c:v>0</c:v>
                </c:pt>
                <c:pt idx="117">
                  <c:v>0</c:v>
                </c:pt>
                <c:pt idx="118">
                  <c:v>0</c:v>
                </c:pt>
                <c:pt idx="120">
                  <c:v>0</c:v>
                </c:pt>
                <c:pt idx="121">
                  <c:v>0</c:v>
                </c:pt>
                <c:pt idx="123">
                  <c:v>0</c:v>
                </c:pt>
                <c:pt idx="124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Path!$G$2:$G$133</c:f>
              <c:numCache>
                <c:formatCode>0.0</c:formatCode>
                <c:ptCount val="132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  <c:pt idx="52">
                  <c:v>0</c:v>
                </c:pt>
                <c:pt idx="54">
                  <c:v>0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67">
                  <c:v>0</c:v>
                </c:pt>
                <c:pt idx="69">
                  <c:v>0</c:v>
                </c:pt>
                <c:pt idx="70">
                  <c:v>0</c:v>
                </c:pt>
                <c:pt idx="72">
                  <c:v>0</c:v>
                </c:pt>
                <c:pt idx="73">
                  <c:v>0</c:v>
                </c:pt>
                <c:pt idx="75">
                  <c:v>0</c:v>
                </c:pt>
                <c:pt idx="76">
                  <c:v>0</c:v>
                </c:pt>
                <c:pt idx="78">
                  <c:v>0</c:v>
                </c:pt>
                <c:pt idx="79">
                  <c:v>0</c:v>
                </c:pt>
                <c:pt idx="81">
                  <c:v>0</c:v>
                </c:pt>
                <c:pt idx="82">
                  <c:v>0</c:v>
                </c:pt>
                <c:pt idx="84">
                  <c:v>0</c:v>
                </c:pt>
                <c:pt idx="85">
                  <c:v>0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0</c:v>
                </c:pt>
                <c:pt idx="93">
                  <c:v>0</c:v>
                </c:pt>
                <c:pt idx="94">
                  <c:v>0</c:v>
                </c:pt>
                <c:pt idx="96">
                  <c:v>0</c:v>
                </c:pt>
                <c:pt idx="97">
                  <c:v>0</c:v>
                </c:pt>
                <c:pt idx="99">
                  <c:v>0</c:v>
                </c:pt>
                <c:pt idx="100">
                  <c:v>0</c:v>
                </c:pt>
                <c:pt idx="102">
                  <c:v>0</c:v>
                </c:pt>
                <c:pt idx="103">
                  <c:v>0</c:v>
                </c:pt>
                <c:pt idx="105">
                  <c:v>0</c:v>
                </c:pt>
                <c:pt idx="106">
                  <c:v>0</c:v>
                </c:pt>
                <c:pt idx="108">
                  <c:v>0</c:v>
                </c:pt>
                <c:pt idx="109">
                  <c:v>0</c:v>
                </c:pt>
                <c:pt idx="111">
                  <c:v>0</c:v>
                </c:pt>
                <c:pt idx="112">
                  <c:v>0</c:v>
                </c:pt>
                <c:pt idx="114">
                  <c:v>0</c:v>
                </c:pt>
                <c:pt idx="115">
                  <c:v>0</c:v>
                </c:pt>
                <c:pt idx="117">
                  <c:v>0</c:v>
                </c:pt>
                <c:pt idx="118">
                  <c:v>0</c:v>
                </c:pt>
                <c:pt idx="120">
                  <c:v>0</c:v>
                </c:pt>
                <c:pt idx="121">
                  <c:v>0</c:v>
                </c:pt>
                <c:pt idx="123">
                  <c:v>0</c:v>
                </c:pt>
                <c:pt idx="124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5A9-4E61-88EA-8754BE60521E}"/>
            </c:ext>
          </c:extLst>
        </c:ser>
        <c:ser>
          <c:idx val="6"/>
          <c:order val="2"/>
          <c:tx>
            <c:v>Driver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Panels!$U$59:$U$74</c:f>
              <c:numCache>
                <c:formatCode>0.0</c:formatCode>
                <c:ptCount val="16"/>
                <c:pt idx="0">
                  <c:v>49.837507763994246</c:v>
                </c:pt>
                <c:pt idx="1">
                  <c:v>43.808008572285473</c:v>
                </c:pt>
                <c:pt idx="2">
                  <c:v>23.745214268363274</c:v>
                </c:pt>
                <c:pt idx="3">
                  <c:v>26.252008243034318</c:v>
                </c:pt>
                <c:pt idx="4">
                  <c:v>31.171251077169089</c:v>
                </c:pt>
                <c:pt idx="5">
                  <c:v>49.322955316561767</c:v>
                </c:pt>
                <c:pt idx="7">
                  <c:v>37.7785093805767</c:v>
                </c:pt>
                <c:pt idx="8">
                  <c:v>43.808008572285473</c:v>
                </c:pt>
                <c:pt idx="9">
                  <c:v>23.745214268363274</c:v>
                </c:pt>
                <c:pt idx="10">
                  <c:v>21.238420293692229</c:v>
                </c:pt>
                <c:pt idx="11">
                  <c:v>26.157663127827</c:v>
                </c:pt>
                <c:pt idx="12">
                  <c:v>38.293061828009179</c:v>
                </c:pt>
                <c:pt idx="14">
                  <c:v>26.157663127827</c:v>
                </c:pt>
                <c:pt idx="15">
                  <c:v>31.171251077169089</c:v>
                </c:pt>
              </c:numCache>
            </c:numRef>
          </c:xVal>
          <c:yVal>
            <c:numRef>
              <c:f>Panels!$V$59:$V$74</c:f>
              <c:numCache>
                <c:formatCode>0.0</c:formatCode>
                <c:ptCount val="16"/>
                <c:pt idx="0">
                  <c:v>77.985890338661036</c:v>
                </c:pt>
                <c:pt idx="1">
                  <c:v>55.945753326900345</c:v>
                </c:pt>
                <c:pt idx="2">
                  <c:v>61.434312766180099</c:v>
                </c:pt>
                <c:pt idx="3">
                  <c:v>70.597608241529187</c:v>
                </c:pt>
                <c:pt idx="4">
                  <c:v>69.251855686705781</c:v>
                </c:pt>
                <c:pt idx="5">
                  <c:v>76.105003372668321</c:v>
                </c:pt>
                <c:pt idx="7">
                  <c:v>33.905616315139653</c:v>
                </c:pt>
                <c:pt idx="8">
                  <c:v>55.945753326900345</c:v>
                </c:pt>
                <c:pt idx="9">
                  <c:v>61.434312766180099</c:v>
                </c:pt>
                <c:pt idx="10">
                  <c:v>52.271017290831018</c:v>
                </c:pt>
                <c:pt idx="11">
                  <c:v>50.92526473600762</c:v>
                </c:pt>
                <c:pt idx="12">
                  <c:v>35.786503281132369</c:v>
                </c:pt>
                <c:pt idx="14">
                  <c:v>50.92526473600762</c:v>
                </c:pt>
                <c:pt idx="15">
                  <c:v>69.251855686705781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5A9-4E61-88EA-8754BE60521E}"/>
            </c:ext>
          </c:extLst>
        </c:ser>
        <c:ser>
          <c:idx val="2"/>
          <c:order val="3"/>
          <c:tx>
            <c:v>Adv Centerline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Path!$J$2:$J$133</c:f>
              <c:numCache>
                <c:formatCode>0.0</c:formatCode>
                <c:ptCount val="132"/>
                <c:pt idx="3">
                  <c:v>43.402594974606103</c:v>
                </c:pt>
                <c:pt idx="4">
                  <c:v>43.402594974606103</c:v>
                </c:pt>
                <c:pt idx="5">
                  <c:v>43.402594974606103</c:v>
                </c:pt>
                <c:pt idx="6">
                  <c:v>45.242713685218526</c:v>
                </c:pt>
                <c:pt idx="7">
                  <c:v>45.242713685218526</c:v>
                </c:pt>
                <c:pt idx="8">
                  <c:v>45.242713685218526</c:v>
                </c:pt>
                <c:pt idx="9">
                  <c:v>47.067272070436552</c:v>
                </c:pt>
                <c:pt idx="10">
                  <c:v>47.067272070436552</c:v>
                </c:pt>
                <c:pt idx="11">
                  <c:v>47.067272070436552</c:v>
                </c:pt>
                <c:pt idx="12">
                  <c:v>52.353698345584228</c:v>
                </c:pt>
                <c:pt idx="13">
                  <c:v>52.353698345584228</c:v>
                </c:pt>
                <c:pt idx="14">
                  <c:v>52.353698345584228</c:v>
                </c:pt>
                <c:pt idx="15">
                  <c:v>55.948000339611418</c:v>
                </c:pt>
                <c:pt idx="16">
                  <c:v>55.948000339611418</c:v>
                </c:pt>
                <c:pt idx="17">
                  <c:v>55.948000339611418</c:v>
                </c:pt>
                <c:pt idx="18">
                  <c:v>59.757408015018441</c:v>
                </c:pt>
                <c:pt idx="19">
                  <c:v>59.757408015018441</c:v>
                </c:pt>
                <c:pt idx="20">
                  <c:v>59.757408015018441</c:v>
                </c:pt>
                <c:pt idx="21">
                  <c:v>62.019158958217595</c:v>
                </c:pt>
                <c:pt idx="22">
                  <c:v>62.019158958217595</c:v>
                </c:pt>
                <c:pt idx="23">
                  <c:v>62.019158958217595</c:v>
                </c:pt>
                <c:pt idx="24">
                  <c:v>63.503958077662631</c:v>
                </c:pt>
                <c:pt idx="25">
                  <c:v>63.503958077662631</c:v>
                </c:pt>
                <c:pt idx="26">
                  <c:v>63.503958077662631</c:v>
                </c:pt>
                <c:pt idx="27">
                  <c:v>84.47836502428575</c:v>
                </c:pt>
                <c:pt idx="28">
                  <c:v>84.47836502428575</c:v>
                </c:pt>
                <c:pt idx="29">
                  <c:v>84.47836502428575</c:v>
                </c:pt>
                <c:pt idx="30">
                  <c:v>88.245546752948002</c:v>
                </c:pt>
                <c:pt idx="31">
                  <c:v>88.245546752948002</c:v>
                </c:pt>
                <c:pt idx="32">
                  <c:v>88.245546752948002</c:v>
                </c:pt>
                <c:pt idx="33">
                  <c:v>92.012728481610239</c:v>
                </c:pt>
                <c:pt idx="34">
                  <c:v>92.012728481610239</c:v>
                </c:pt>
                <c:pt idx="35">
                  <c:v>92.012728481610239</c:v>
                </c:pt>
                <c:pt idx="36">
                  <c:v>92.012728481610239</c:v>
                </c:pt>
                <c:pt idx="37">
                  <c:v>92.012728481610239</c:v>
                </c:pt>
                <c:pt idx="38">
                  <c:v>92.012728481610239</c:v>
                </c:pt>
                <c:pt idx="39">
                  <c:v>92.012728481610239</c:v>
                </c:pt>
                <c:pt idx="40">
                  <c:v>92.012728481610239</c:v>
                </c:pt>
                <c:pt idx="41">
                  <c:v>92.012728481610239</c:v>
                </c:pt>
                <c:pt idx="42">
                  <c:v>92.012728481610239</c:v>
                </c:pt>
                <c:pt idx="43">
                  <c:v>92.012728481610239</c:v>
                </c:pt>
                <c:pt idx="44">
                  <c:v>92.012728481610239</c:v>
                </c:pt>
                <c:pt idx="45">
                  <c:v>88.11909272241536</c:v>
                </c:pt>
                <c:pt idx="46">
                  <c:v>88.11909272241536</c:v>
                </c:pt>
                <c:pt idx="47">
                  <c:v>88.11909272241536</c:v>
                </c:pt>
                <c:pt idx="48">
                  <c:v>83.946420182461708</c:v>
                </c:pt>
                <c:pt idx="49">
                  <c:v>83.946420182461708</c:v>
                </c:pt>
                <c:pt idx="50">
                  <c:v>83.946420182461708</c:v>
                </c:pt>
                <c:pt idx="51">
                  <c:v>71.004081650982897</c:v>
                </c:pt>
                <c:pt idx="52">
                  <c:v>71.004081650982897</c:v>
                </c:pt>
                <c:pt idx="53">
                  <c:v>71.004081650982897</c:v>
                </c:pt>
                <c:pt idx="54">
                  <c:v>69.114803389247641</c:v>
                </c:pt>
                <c:pt idx="55">
                  <c:v>69.114803389247641</c:v>
                </c:pt>
                <c:pt idx="56">
                  <c:v>69.114803389247641</c:v>
                </c:pt>
                <c:pt idx="57">
                  <c:v>66.146240450487994</c:v>
                </c:pt>
                <c:pt idx="58">
                  <c:v>66.146240450487994</c:v>
                </c:pt>
                <c:pt idx="59">
                  <c:v>66.146240450487994</c:v>
                </c:pt>
                <c:pt idx="60">
                  <c:v>63.862109443699843</c:v>
                </c:pt>
                <c:pt idx="61">
                  <c:v>63.862109443699843</c:v>
                </c:pt>
                <c:pt idx="62">
                  <c:v>63.862109443699843</c:v>
                </c:pt>
                <c:pt idx="63">
                  <c:v>62.1764860408624</c:v>
                </c:pt>
                <c:pt idx="64">
                  <c:v>62.1764860408624</c:v>
                </c:pt>
                <c:pt idx="65">
                  <c:v>62.1764860408624</c:v>
                </c:pt>
                <c:pt idx="66">
                  <c:v>61.632928141419043</c:v>
                </c:pt>
                <c:pt idx="67">
                  <c:v>61.632928141419043</c:v>
                </c:pt>
                <c:pt idx="68">
                  <c:v>61.632928141419043</c:v>
                </c:pt>
                <c:pt idx="69">
                  <c:v>61.089370241975686</c:v>
                </c:pt>
                <c:pt idx="70">
                  <c:v>61.089370241975686</c:v>
                </c:pt>
                <c:pt idx="71">
                  <c:v>61.089370241975686</c:v>
                </c:pt>
                <c:pt idx="72">
                  <c:v>65.742111368854339</c:v>
                </c:pt>
                <c:pt idx="73">
                  <c:v>65.742111368854339</c:v>
                </c:pt>
                <c:pt idx="74">
                  <c:v>65.742111368854339</c:v>
                </c:pt>
                <c:pt idx="75">
                  <c:v>70.938410395176348</c:v>
                </c:pt>
                <c:pt idx="76">
                  <c:v>70.938410395176348</c:v>
                </c:pt>
                <c:pt idx="77">
                  <c:v>70.938410395176348</c:v>
                </c:pt>
                <c:pt idx="78">
                  <c:v>78.96100135006958</c:v>
                </c:pt>
                <c:pt idx="79">
                  <c:v>78.96100135006958</c:v>
                </c:pt>
                <c:pt idx="80">
                  <c:v>78.96100135006958</c:v>
                </c:pt>
                <c:pt idx="81">
                  <c:v>84.085807109428188</c:v>
                </c:pt>
                <c:pt idx="82">
                  <c:v>84.085807109428188</c:v>
                </c:pt>
                <c:pt idx="83">
                  <c:v>84.085807109428188</c:v>
                </c:pt>
                <c:pt idx="84">
                  <c:v>89.210612868786797</c:v>
                </c:pt>
                <c:pt idx="85">
                  <c:v>89.210612868786797</c:v>
                </c:pt>
                <c:pt idx="86">
                  <c:v>89.210612868786797</c:v>
                </c:pt>
                <c:pt idx="87">
                  <c:v>89.210612868786797</c:v>
                </c:pt>
                <c:pt idx="88">
                  <c:v>89.210612868786797</c:v>
                </c:pt>
                <c:pt idx="89">
                  <c:v>89.210612868786797</c:v>
                </c:pt>
                <c:pt idx="90">
                  <c:v>89.147832042417079</c:v>
                </c:pt>
                <c:pt idx="91">
                  <c:v>89.147832042417079</c:v>
                </c:pt>
                <c:pt idx="92">
                  <c:v>89.147832042417079</c:v>
                </c:pt>
                <c:pt idx="93">
                  <c:v>89.147832042417079</c:v>
                </c:pt>
                <c:pt idx="94">
                  <c:v>89.147832042417079</c:v>
                </c:pt>
                <c:pt idx="95">
                  <c:v>89.147832042417079</c:v>
                </c:pt>
                <c:pt idx="96">
                  <c:v>83.82174806362562</c:v>
                </c:pt>
                <c:pt idx="97">
                  <c:v>83.82174806362562</c:v>
                </c:pt>
                <c:pt idx="98">
                  <c:v>83.82174806362562</c:v>
                </c:pt>
                <c:pt idx="99">
                  <c:v>78.105963704169952</c:v>
                </c:pt>
                <c:pt idx="100">
                  <c:v>78.105963704169952</c:v>
                </c:pt>
                <c:pt idx="101">
                  <c:v>78.105963704169952</c:v>
                </c:pt>
                <c:pt idx="102">
                  <c:v>34.658977886164905</c:v>
                </c:pt>
                <c:pt idx="103">
                  <c:v>34.658977886164905</c:v>
                </c:pt>
                <c:pt idx="104">
                  <c:v>34.658977886164905</c:v>
                </c:pt>
                <c:pt idx="105">
                  <c:v>26.554895917715406</c:v>
                </c:pt>
                <c:pt idx="106">
                  <c:v>26.554895917715406</c:v>
                </c:pt>
                <c:pt idx="107">
                  <c:v>26.554895917715406</c:v>
                </c:pt>
                <c:pt idx="108">
                  <c:v>18.450813949265903</c:v>
                </c:pt>
                <c:pt idx="109">
                  <c:v>18.450813949265903</c:v>
                </c:pt>
                <c:pt idx="110">
                  <c:v>18.450813949265903</c:v>
                </c:pt>
                <c:pt idx="111">
                  <c:v>18.450813949265903</c:v>
                </c:pt>
                <c:pt idx="112">
                  <c:v>18.450813949265903</c:v>
                </c:pt>
                <c:pt idx="113">
                  <c:v>18.450813949265903</c:v>
                </c:pt>
                <c:pt idx="114">
                  <c:v>18.513594775635617</c:v>
                </c:pt>
                <c:pt idx="115">
                  <c:v>18.513594775635617</c:v>
                </c:pt>
                <c:pt idx="116">
                  <c:v>18.513594775635617</c:v>
                </c:pt>
                <c:pt idx="117">
                  <c:v>18.573006712879263</c:v>
                </c:pt>
                <c:pt idx="118">
                  <c:v>18.573006712879263</c:v>
                </c:pt>
                <c:pt idx="119">
                  <c:v>18.573006712879263</c:v>
                </c:pt>
                <c:pt idx="120">
                  <c:v>22.212542063981626</c:v>
                </c:pt>
                <c:pt idx="121">
                  <c:v>22.212542063981626</c:v>
                </c:pt>
                <c:pt idx="122">
                  <c:v>22.212542063981626</c:v>
                </c:pt>
                <c:pt idx="123">
                  <c:v>25.633609828442079</c:v>
                </c:pt>
                <c:pt idx="124">
                  <c:v>25.633609828442079</c:v>
                </c:pt>
                <c:pt idx="125">
                  <c:v>25.633609828442079</c:v>
                </c:pt>
                <c:pt idx="126">
                  <c:v>25.763547324435674</c:v>
                </c:pt>
                <c:pt idx="127">
                  <c:v>25.763547324435674</c:v>
                </c:pt>
                <c:pt idx="128">
                  <c:v>25.763547324435674</c:v>
                </c:pt>
              </c:numCache>
            </c:numRef>
          </c:xVal>
          <c:yVal>
            <c:numRef>
              <c:f>Path!$K$2:$K$133</c:f>
              <c:numCache>
                <c:formatCode>0.0</c:formatCode>
                <c:ptCount val="132"/>
                <c:pt idx="3">
                  <c:v>28.391063961929355</c:v>
                </c:pt>
                <c:pt idx="4">
                  <c:v>28.391063961929355</c:v>
                </c:pt>
                <c:pt idx="5">
                  <c:v>28.391063961929355</c:v>
                </c:pt>
                <c:pt idx="6">
                  <c:v>41.722918765632024</c:v>
                </c:pt>
                <c:pt idx="7">
                  <c:v>41.722918765632024</c:v>
                </c:pt>
                <c:pt idx="8">
                  <c:v>41.722918765632024</c:v>
                </c:pt>
                <c:pt idx="9">
                  <c:v>54.964688893557295</c:v>
                </c:pt>
                <c:pt idx="10">
                  <c:v>54.964688893557295</c:v>
                </c:pt>
                <c:pt idx="11">
                  <c:v>54.964688893557295</c:v>
                </c:pt>
                <c:pt idx="12">
                  <c:v>64.847360799108671</c:v>
                </c:pt>
                <c:pt idx="13">
                  <c:v>64.847360799108671</c:v>
                </c:pt>
                <c:pt idx="14">
                  <c:v>64.847360799108671</c:v>
                </c:pt>
                <c:pt idx="15">
                  <c:v>70.334611366817171</c:v>
                </c:pt>
                <c:pt idx="16">
                  <c:v>70.334611366817171</c:v>
                </c:pt>
                <c:pt idx="17">
                  <c:v>70.334611366817171</c:v>
                </c:pt>
                <c:pt idx="18">
                  <c:v>72.965689153730196</c:v>
                </c:pt>
                <c:pt idx="19">
                  <c:v>72.965689153730196</c:v>
                </c:pt>
                <c:pt idx="20">
                  <c:v>72.965689153730196</c:v>
                </c:pt>
                <c:pt idx="21">
                  <c:v>72.965689153730196</c:v>
                </c:pt>
                <c:pt idx="22">
                  <c:v>72.965689153730196</c:v>
                </c:pt>
                <c:pt idx="23">
                  <c:v>72.965689153730196</c:v>
                </c:pt>
                <c:pt idx="24">
                  <c:v>72.965689153730196</c:v>
                </c:pt>
                <c:pt idx="25">
                  <c:v>72.965689153730196</c:v>
                </c:pt>
                <c:pt idx="26">
                  <c:v>72.965689153730196</c:v>
                </c:pt>
                <c:pt idx="27">
                  <c:v>72.233246179416881</c:v>
                </c:pt>
                <c:pt idx="28">
                  <c:v>72.233246179416881</c:v>
                </c:pt>
                <c:pt idx="29">
                  <c:v>72.233246179416881</c:v>
                </c:pt>
                <c:pt idx="30">
                  <c:v>72.233246179416881</c:v>
                </c:pt>
                <c:pt idx="31">
                  <c:v>72.233246179416881</c:v>
                </c:pt>
                <c:pt idx="32">
                  <c:v>72.233246179416881</c:v>
                </c:pt>
                <c:pt idx="33">
                  <c:v>68.609869269125312</c:v>
                </c:pt>
                <c:pt idx="34">
                  <c:v>68.609869269125312</c:v>
                </c:pt>
                <c:pt idx="35">
                  <c:v>68.609869269125312</c:v>
                </c:pt>
                <c:pt idx="36">
                  <c:v>64.71472050215624</c:v>
                </c:pt>
                <c:pt idx="37">
                  <c:v>64.71472050215624</c:v>
                </c:pt>
                <c:pt idx="38">
                  <c:v>64.71472050215624</c:v>
                </c:pt>
                <c:pt idx="39">
                  <c:v>62.919105211688546</c:v>
                </c:pt>
                <c:pt idx="40">
                  <c:v>62.919105211688546</c:v>
                </c:pt>
                <c:pt idx="41">
                  <c:v>62.919105211688546</c:v>
                </c:pt>
                <c:pt idx="42">
                  <c:v>59.057271872935786</c:v>
                </c:pt>
                <c:pt idx="43">
                  <c:v>59.057271872935786</c:v>
                </c:pt>
                <c:pt idx="44">
                  <c:v>59.057271872935786</c:v>
                </c:pt>
                <c:pt idx="45">
                  <c:v>55.195438534183033</c:v>
                </c:pt>
                <c:pt idx="46">
                  <c:v>55.195438534183033</c:v>
                </c:pt>
                <c:pt idx="47">
                  <c:v>55.195438534183033</c:v>
                </c:pt>
                <c:pt idx="48">
                  <c:v>55.195438534183033</c:v>
                </c:pt>
                <c:pt idx="49">
                  <c:v>55.195438534183033</c:v>
                </c:pt>
                <c:pt idx="50">
                  <c:v>55.195438534183033</c:v>
                </c:pt>
                <c:pt idx="51">
                  <c:v>55.663659097061711</c:v>
                </c:pt>
                <c:pt idx="52">
                  <c:v>55.663659097061711</c:v>
                </c:pt>
                <c:pt idx="53">
                  <c:v>55.663659097061711</c:v>
                </c:pt>
                <c:pt idx="54">
                  <c:v>55.795770302779033</c:v>
                </c:pt>
                <c:pt idx="55">
                  <c:v>55.795770302779033</c:v>
                </c:pt>
                <c:pt idx="56">
                  <c:v>55.795770302779033</c:v>
                </c:pt>
                <c:pt idx="57">
                  <c:v>55.159168899981623</c:v>
                </c:pt>
                <c:pt idx="58">
                  <c:v>55.159168899981623</c:v>
                </c:pt>
                <c:pt idx="59">
                  <c:v>55.159168899981623</c:v>
                </c:pt>
                <c:pt idx="60">
                  <c:v>51.376128392484482</c:v>
                </c:pt>
                <c:pt idx="61">
                  <c:v>51.376128392484482</c:v>
                </c:pt>
                <c:pt idx="62">
                  <c:v>51.376128392484482</c:v>
                </c:pt>
                <c:pt idx="63">
                  <c:v>46.562743539410008</c:v>
                </c:pt>
                <c:pt idx="64">
                  <c:v>46.562743539410008</c:v>
                </c:pt>
                <c:pt idx="65">
                  <c:v>46.562743539410008</c:v>
                </c:pt>
                <c:pt idx="66">
                  <c:v>43.415878940084113</c:v>
                </c:pt>
                <c:pt idx="67">
                  <c:v>43.415878940084113</c:v>
                </c:pt>
                <c:pt idx="68">
                  <c:v>43.415878940084113</c:v>
                </c:pt>
                <c:pt idx="69">
                  <c:v>39.819014340758216</c:v>
                </c:pt>
                <c:pt idx="70">
                  <c:v>39.819014340758216</c:v>
                </c:pt>
                <c:pt idx="71">
                  <c:v>39.819014340758216</c:v>
                </c:pt>
                <c:pt idx="72">
                  <c:v>36.308789116616452</c:v>
                </c:pt>
                <c:pt idx="73">
                  <c:v>36.308789116616452</c:v>
                </c:pt>
                <c:pt idx="74">
                  <c:v>36.308789116616452</c:v>
                </c:pt>
                <c:pt idx="75">
                  <c:v>35.945428491800584</c:v>
                </c:pt>
                <c:pt idx="76">
                  <c:v>35.945428491800584</c:v>
                </c:pt>
                <c:pt idx="77">
                  <c:v>35.945428491800584</c:v>
                </c:pt>
                <c:pt idx="78">
                  <c:v>35.664168695829702</c:v>
                </c:pt>
                <c:pt idx="79">
                  <c:v>35.664168695829702</c:v>
                </c:pt>
                <c:pt idx="80">
                  <c:v>35.664168695829702</c:v>
                </c:pt>
                <c:pt idx="81">
                  <c:v>35.664168695829702</c:v>
                </c:pt>
                <c:pt idx="82">
                  <c:v>35.664168695829702</c:v>
                </c:pt>
                <c:pt idx="83">
                  <c:v>35.664168695829702</c:v>
                </c:pt>
                <c:pt idx="84">
                  <c:v>30.611470903110916</c:v>
                </c:pt>
                <c:pt idx="85">
                  <c:v>30.611470903110916</c:v>
                </c:pt>
                <c:pt idx="86">
                  <c:v>30.611470903110916</c:v>
                </c:pt>
                <c:pt idx="87">
                  <c:v>25.558773110392131</c:v>
                </c:pt>
                <c:pt idx="88">
                  <c:v>25.558773110392131</c:v>
                </c:pt>
                <c:pt idx="89">
                  <c:v>25.558773110392131</c:v>
                </c:pt>
                <c:pt idx="90">
                  <c:v>23.763157819924444</c:v>
                </c:pt>
                <c:pt idx="91">
                  <c:v>23.763157819924444</c:v>
                </c:pt>
                <c:pt idx="92">
                  <c:v>23.763157819924444</c:v>
                </c:pt>
                <c:pt idx="93">
                  <c:v>18.364759435260154</c:v>
                </c:pt>
                <c:pt idx="94">
                  <c:v>18.364759435260154</c:v>
                </c:pt>
                <c:pt idx="95">
                  <c:v>18.364759435260154</c:v>
                </c:pt>
                <c:pt idx="96">
                  <c:v>12.966361050595864</c:v>
                </c:pt>
                <c:pt idx="97">
                  <c:v>12.966361050595864</c:v>
                </c:pt>
                <c:pt idx="98">
                  <c:v>12.966361050595864</c:v>
                </c:pt>
                <c:pt idx="99">
                  <c:v>12.966361050595864</c:v>
                </c:pt>
                <c:pt idx="100">
                  <c:v>12.966361050595864</c:v>
                </c:pt>
                <c:pt idx="101">
                  <c:v>12.966361050595864</c:v>
                </c:pt>
                <c:pt idx="102">
                  <c:v>14.483564354530589</c:v>
                </c:pt>
                <c:pt idx="103">
                  <c:v>14.483564354530589</c:v>
                </c:pt>
                <c:pt idx="104">
                  <c:v>14.483564354530589</c:v>
                </c:pt>
                <c:pt idx="105">
                  <c:v>14.483564354530589</c:v>
                </c:pt>
                <c:pt idx="106">
                  <c:v>14.483564354530589</c:v>
                </c:pt>
                <c:pt idx="107">
                  <c:v>14.483564354530589</c:v>
                </c:pt>
                <c:pt idx="108">
                  <c:v>20.825346531795883</c:v>
                </c:pt>
                <c:pt idx="109">
                  <c:v>20.825346531795883</c:v>
                </c:pt>
                <c:pt idx="110">
                  <c:v>20.825346531795883</c:v>
                </c:pt>
                <c:pt idx="111">
                  <c:v>27.748233735577543</c:v>
                </c:pt>
                <c:pt idx="112">
                  <c:v>27.748233735577543</c:v>
                </c:pt>
                <c:pt idx="113">
                  <c:v>27.748233735577543</c:v>
                </c:pt>
                <c:pt idx="114">
                  <c:v>29.546040045288095</c:v>
                </c:pt>
                <c:pt idx="115">
                  <c:v>29.546040045288095</c:v>
                </c:pt>
                <c:pt idx="116">
                  <c:v>29.546040045288095</c:v>
                </c:pt>
                <c:pt idx="117">
                  <c:v>31.894408778658686</c:v>
                </c:pt>
                <c:pt idx="118">
                  <c:v>31.894408778658686</c:v>
                </c:pt>
                <c:pt idx="119">
                  <c:v>31.894408778658686</c:v>
                </c:pt>
                <c:pt idx="120">
                  <c:v>58.986709757458911</c:v>
                </c:pt>
                <c:pt idx="121">
                  <c:v>58.986709757458911</c:v>
                </c:pt>
                <c:pt idx="122">
                  <c:v>58.986709757458911</c:v>
                </c:pt>
                <c:pt idx="123">
                  <c:v>81.28</c:v>
                </c:pt>
                <c:pt idx="124">
                  <c:v>81.28</c:v>
                </c:pt>
                <c:pt idx="125">
                  <c:v>81.28</c:v>
                </c:pt>
                <c:pt idx="126">
                  <c:v>81.754971489937674</c:v>
                </c:pt>
                <c:pt idx="127">
                  <c:v>81.754971489937674</c:v>
                </c:pt>
                <c:pt idx="128">
                  <c:v>81.754971489937674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5A9-4E61-88EA-8754BE60521E}"/>
            </c:ext>
          </c:extLst>
        </c:ser>
        <c:ser>
          <c:idx val="0"/>
          <c:order val="4"/>
          <c:tx>
            <c:v>Axes</c:v>
          </c:tx>
          <c:spPr>
            <a:ln>
              <a:noFill/>
            </a:ln>
          </c:spPr>
          <c:marker>
            <c:symbol val="none"/>
          </c:marker>
          <c:xVal>
            <c:numRef>
              <c:f>Panels!$S$83:$S$87</c:f>
              <c:numCache>
                <c:formatCode>0.0</c:formatCode>
                <c:ptCount val="5"/>
                <c:pt idx="0">
                  <c:v>-5</c:v>
                </c:pt>
                <c:pt idx="1">
                  <c:v>-5</c:v>
                </c:pt>
                <c:pt idx="3">
                  <c:v>-5</c:v>
                </c:pt>
                <c:pt idx="4">
                  <c:v>101.6</c:v>
                </c:pt>
              </c:numCache>
            </c:numRef>
          </c:xVal>
          <c:yVal>
            <c:numRef>
              <c:f>Panels!$T$83:$T$87</c:f>
              <c:numCache>
                <c:formatCode>0.0</c:formatCode>
                <c:ptCount val="5"/>
                <c:pt idx="0">
                  <c:v>-5</c:v>
                </c:pt>
                <c:pt idx="1">
                  <c:v>101.6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5A9-4E61-88EA-8754BE60521E}"/>
            </c:ext>
          </c:extLst>
        </c:ser>
        <c:ser>
          <c:idx val="3"/>
          <c:order val="5"/>
          <c:tx>
            <c:v>Guides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Guides!$F$2:$F$28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Guides!$G$2:$G$28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5A9-4E61-88EA-8754BE60521E}"/>
            </c:ext>
          </c:extLst>
        </c:ser>
        <c:ser>
          <c:idx val="4"/>
          <c:order val="6"/>
          <c:tx>
            <c:v>Cone Compensation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Path!$AD$25:$AD$27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Path!$AE$25:$AE$27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5A9-4E61-88EA-8754BE60521E}"/>
            </c:ext>
          </c:extLst>
        </c:ser>
        <c:ser>
          <c:idx val="7"/>
          <c:order val="7"/>
          <c:tx>
            <c:v>Braces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Bracing!$F$2:$F$28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Bracing!$G$2:$G$28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5A9-4E61-88EA-8754BE605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969280"/>
        <c:axId val="203971200"/>
      </c:scatterChart>
      <c:valAx>
        <c:axId val="203969280"/>
        <c:scaling>
          <c:orientation val="minMax"/>
        </c:scaling>
        <c:delete val="0"/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Width</a:t>
                </a:r>
              </a:p>
            </c:rich>
          </c:tx>
          <c:layout>
            <c:manualLayout>
              <c:xMode val="edge"/>
              <c:yMode val="edge"/>
              <c:x val="0.51342287063615377"/>
              <c:y val="0.9353678344554756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one"/>
        <c:spPr>
          <a:ln w="3175">
            <a:solidFill>
              <a:srgbClr val="000000"/>
            </a:solidFill>
            <a:prstDash val="solid"/>
          </a:ln>
        </c:spPr>
        <c:crossAx val="203971200"/>
        <c:crosses val="autoZero"/>
        <c:crossBetween val="midCat"/>
      </c:valAx>
      <c:valAx>
        <c:axId val="203971200"/>
        <c:scaling>
          <c:orientation val="minMax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</a:t>
                </a:r>
              </a:p>
            </c:rich>
          </c:tx>
          <c:layout>
            <c:manualLayout>
              <c:xMode val="edge"/>
              <c:yMode val="edge"/>
              <c:x val="1.789727789043092E-2"/>
              <c:y val="0.454485716459355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one"/>
        <c:spPr>
          <a:ln w="3175">
            <a:solidFill>
              <a:srgbClr val="000000"/>
            </a:solidFill>
            <a:prstDash val="solid"/>
          </a:ln>
        </c:spPr>
        <c:crossAx val="203969280"/>
        <c:crosses val="autoZero"/>
        <c:crossBetween val="midCat"/>
      </c:valAx>
      <c:spPr>
        <a:noFill/>
        <a:ln w="12700">
          <a:solidFill>
            <a:srgbClr val="00000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08921868121155E-2"/>
          <c:y val="4.6225676204367364E-2"/>
          <c:w val="0.86577181208053688"/>
          <c:h val="0.85996409335727109"/>
        </c:manualLayout>
      </c:layout>
      <c:scatterChart>
        <c:scatterStyle val="lineMarker"/>
        <c:varyColors val="0"/>
        <c:ser>
          <c:idx val="1"/>
          <c:order val="0"/>
          <c:tx>
            <c:v>Outline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Panels!$F$6:$F$94</c:f>
              <c:numCache>
                <c:formatCode>0.0</c:formatCode>
                <c:ptCount val="89"/>
                <c:pt idx="0">
                  <c:v>99.8</c:v>
                </c:pt>
                <c:pt idx="1">
                  <c:v>99.8</c:v>
                </c:pt>
                <c:pt idx="2">
                  <c:v>101.6</c:v>
                </c:pt>
                <c:pt idx="3">
                  <c:v>101.6</c:v>
                </c:pt>
                <c:pt idx="4">
                  <c:v>99.8</c:v>
                </c:pt>
                <c:pt idx="6">
                  <c:v>0</c:v>
                </c:pt>
                <c:pt idx="7">
                  <c:v>0</c:v>
                </c:pt>
                <c:pt idx="8">
                  <c:v>1.8</c:v>
                </c:pt>
                <c:pt idx="9">
                  <c:v>1.8</c:v>
                </c:pt>
                <c:pt idx="10">
                  <c:v>0</c:v>
                </c:pt>
                <c:pt idx="12">
                  <c:v>49.727094648871351</c:v>
                </c:pt>
                <c:pt idx="13">
                  <c:v>35.346013425758528</c:v>
                </c:pt>
                <c:pt idx="14">
                  <c:v>38.818420132206604</c:v>
                </c:pt>
                <c:pt idx="15">
                  <c:v>53.199501355319427</c:v>
                </c:pt>
                <c:pt idx="16">
                  <c:v>49.727094648871351</c:v>
                </c:pt>
                <c:pt idx="18">
                  <c:v>101.6</c:v>
                </c:pt>
                <c:pt idx="19">
                  <c:v>0</c:v>
                </c:pt>
                <c:pt idx="20">
                  <c:v>0</c:v>
                </c:pt>
                <c:pt idx="21">
                  <c:v>101.6</c:v>
                </c:pt>
                <c:pt idx="22">
                  <c:v>101.6</c:v>
                </c:pt>
                <c:pt idx="24">
                  <c:v>1.8</c:v>
                </c:pt>
                <c:pt idx="25">
                  <c:v>99.8</c:v>
                </c:pt>
                <c:pt idx="26">
                  <c:v>99.8</c:v>
                </c:pt>
                <c:pt idx="27">
                  <c:v>1.8</c:v>
                </c:pt>
                <c:pt idx="28">
                  <c:v>1.8</c:v>
                </c:pt>
                <c:pt idx="30">
                  <c:v>99.8</c:v>
                </c:pt>
                <c:pt idx="31">
                  <c:v>53.199501355319427</c:v>
                </c:pt>
                <c:pt idx="32">
                  <c:v>53.199501355319427</c:v>
                </c:pt>
                <c:pt idx="33">
                  <c:v>99.8</c:v>
                </c:pt>
                <c:pt idx="34">
                  <c:v>99.8</c:v>
                </c:pt>
                <c:pt idx="42">
                  <c:v>35.227189551271238</c:v>
                </c:pt>
                <c:pt idx="43">
                  <c:v>35.10162789853181</c:v>
                </c:pt>
                <c:pt idx="44">
                  <c:v>78.495664084834161</c:v>
                </c:pt>
                <c:pt idx="45">
                  <c:v>78.621225737573582</c:v>
                </c:pt>
                <c:pt idx="46">
                  <c:v>35.227189551271238</c:v>
                </c:pt>
                <c:pt idx="54">
                  <c:v>48.017890467794388</c:v>
                </c:pt>
                <c:pt idx="55">
                  <c:v>52.366353663341243</c:v>
                </c:pt>
                <c:pt idx="56">
                  <c:v>54.140087880611524</c:v>
                </c:pt>
                <c:pt idx="57">
                  <c:v>49.791624685064669</c:v>
                </c:pt>
                <c:pt idx="58">
                  <c:v>48.017890467794388</c:v>
                </c:pt>
                <c:pt idx="60">
                  <c:v>54.140087880611524</c:v>
                </c:pt>
                <c:pt idx="61">
                  <c:v>63.27661190776417</c:v>
                </c:pt>
                <c:pt idx="62">
                  <c:v>61.791812788319135</c:v>
                </c:pt>
                <c:pt idx="63">
                  <c:v>52.655288761166489</c:v>
                </c:pt>
                <c:pt idx="64">
                  <c:v>54.140087880611524</c:v>
                </c:pt>
                <c:pt idx="66">
                  <c:v>63.27661190776417</c:v>
                </c:pt>
                <c:pt idx="67">
                  <c:v>84.225456963220481</c:v>
                </c:pt>
                <c:pt idx="68">
                  <c:v>84.09989531048106</c:v>
                </c:pt>
                <c:pt idx="69">
                  <c:v>63.151050255024757</c:v>
                </c:pt>
                <c:pt idx="70">
                  <c:v>63.27661190776417</c:v>
                </c:pt>
                <c:pt idx="78">
                  <c:v>99.8</c:v>
                </c:pt>
                <c:pt idx="79">
                  <c:v>71.3</c:v>
                </c:pt>
                <c:pt idx="80">
                  <c:v>71.3</c:v>
                </c:pt>
                <c:pt idx="81">
                  <c:v>99.8</c:v>
                </c:pt>
                <c:pt idx="82">
                  <c:v>99.8</c:v>
                </c:pt>
              </c:numCache>
            </c:numRef>
          </c:xVal>
          <c:yVal>
            <c:numRef>
              <c:f>Panels!$G$6:$G$94</c:f>
              <c:numCache>
                <c:formatCode>0.0</c:formatCode>
                <c:ptCount val="89"/>
                <c:pt idx="0">
                  <c:v>81.28</c:v>
                </c:pt>
                <c:pt idx="1">
                  <c:v>0</c:v>
                </c:pt>
                <c:pt idx="2">
                  <c:v>0</c:v>
                </c:pt>
                <c:pt idx="3">
                  <c:v>81.28</c:v>
                </c:pt>
                <c:pt idx="4">
                  <c:v>81.28</c:v>
                </c:pt>
                <c:pt idx="6">
                  <c:v>81.28</c:v>
                </c:pt>
                <c:pt idx="7">
                  <c:v>0</c:v>
                </c:pt>
                <c:pt idx="8">
                  <c:v>0</c:v>
                </c:pt>
                <c:pt idx="9">
                  <c:v>81.28</c:v>
                </c:pt>
                <c:pt idx="10">
                  <c:v>81.28</c:v>
                </c:pt>
                <c:pt idx="12">
                  <c:v>82.229942979875347</c:v>
                </c:pt>
                <c:pt idx="13">
                  <c:v>29.66156367392535</c:v>
                </c:pt>
                <c:pt idx="14">
                  <c:v>28.711620694050008</c:v>
                </c:pt>
                <c:pt idx="15">
                  <c:v>81.28</c:v>
                </c:pt>
                <c:pt idx="16">
                  <c:v>82.229942979875347</c:v>
                </c:pt>
                <c:pt idx="18">
                  <c:v>81.28</c:v>
                </c:pt>
                <c:pt idx="19">
                  <c:v>81.28</c:v>
                </c:pt>
                <c:pt idx="20">
                  <c:v>0</c:v>
                </c:pt>
                <c:pt idx="21">
                  <c:v>0</c:v>
                </c:pt>
                <c:pt idx="22">
                  <c:v>81.28</c:v>
                </c:pt>
                <c:pt idx="24">
                  <c:v>1.8</c:v>
                </c:pt>
                <c:pt idx="25">
                  <c:v>1.8</c:v>
                </c:pt>
                <c:pt idx="26">
                  <c:v>0</c:v>
                </c:pt>
                <c:pt idx="27">
                  <c:v>0</c:v>
                </c:pt>
                <c:pt idx="28">
                  <c:v>1.8</c:v>
                </c:pt>
                <c:pt idx="30">
                  <c:v>81.28</c:v>
                </c:pt>
                <c:pt idx="31">
                  <c:v>81.28</c:v>
                </c:pt>
                <c:pt idx="32">
                  <c:v>79.48</c:v>
                </c:pt>
                <c:pt idx="33">
                  <c:v>79.48</c:v>
                </c:pt>
                <c:pt idx="34">
                  <c:v>81.28</c:v>
                </c:pt>
                <c:pt idx="42">
                  <c:v>28.962743999528861</c:v>
                </c:pt>
                <c:pt idx="43">
                  <c:v>27.167128709061178</c:v>
                </c:pt>
                <c:pt idx="44">
                  <c:v>24.132722101191728</c:v>
                </c:pt>
                <c:pt idx="45">
                  <c:v>25.928337391659412</c:v>
                </c:pt>
                <c:pt idx="46">
                  <c:v>28.962743999528861</c:v>
                </c:pt>
                <c:pt idx="54">
                  <c:v>28.250676581363489</c:v>
                </c:pt>
                <c:pt idx="55">
                  <c:v>53.425593375970678</c:v>
                </c:pt>
                <c:pt idx="56">
                  <c:v>53.119216277471821</c:v>
                </c:pt>
                <c:pt idx="57">
                  <c:v>27.944299482864629</c:v>
                </c:pt>
                <c:pt idx="58">
                  <c:v>28.250676581363489</c:v>
                </c:pt>
                <c:pt idx="60">
                  <c:v>53.119216277471821</c:v>
                </c:pt>
                <c:pt idx="61">
                  <c:v>66.451378307460388</c:v>
                </c:pt>
                <c:pt idx="62">
                  <c:v>67.468910407639669</c:v>
                </c:pt>
                <c:pt idx="63">
                  <c:v>54.136748377651102</c:v>
                </c:pt>
                <c:pt idx="64">
                  <c:v>53.119216277471821</c:v>
                </c:pt>
                <c:pt idx="66">
                  <c:v>66.451378307460388</c:v>
                </c:pt>
                <c:pt idx="67">
                  <c:v>64.986492358833758</c:v>
                </c:pt>
                <c:pt idx="68">
                  <c:v>63.190877068366071</c:v>
                </c:pt>
                <c:pt idx="69">
                  <c:v>64.655763016992708</c:v>
                </c:pt>
                <c:pt idx="70">
                  <c:v>66.451378307460388</c:v>
                </c:pt>
                <c:pt idx="78">
                  <c:v>45.4</c:v>
                </c:pt>
                <c:pt idx="79">
                  <c:v>45.4</c:v>
                </c:pt>
                <c:pt idx="80">
                  <c:v>47.199999999999996</c:v>
                </c:pt>
                <c:pt idx="81">
                  <c:v>47.199999999999996</c:v>
                </c:pt>
                <c:pt idx="82">
                  <c:v>45.4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0C-4D98-BA5F-360364419AC5}"/>
            </c:ext>
          </c:extLst>
        </c:ser>
        <c:ser>
          <c:idx val="5"/>
          <c:order val="1"/>
          <c:tx>
            <c:v>Sample Points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Path!$F$2:$F$133</c:f>
              <c:numCache>
                <c:formatCode>0.0</c:formatCode>
                <c:ptCount val="132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  <c:pt idx="52">
                  <c:v>0</c:v>
                </c:pt>
                <c:pt idx="54">
                  <c:v>0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67">
                  <c:v>0</c:v>
                </c:pt>
                <c:pt idx="69">
                  <c:v>0</c:v>
                </c:pt>
                <c:pt idx="70">
                  <c:v>0</c:v>
                </c:pt>
                <c:pt idx="72">
                  <c:v>0</c:v>
                </c:pt>
                <c:pt idx="73">
                  <c:v>0</c:v>
                </c:pt>
                <c:pt idx="75">
                  <c:v>0</c:v>
                </c:pt>
                <c:pt idx="76">
                  <c:v>0</c:v>
                </c:pt>
                <c:pt idx="78">
                  <c:v>0</c:v>
                </c:pt>
                <c:pt idx="79">
                  <c:v>0</c:v>
                </c:pt>
                <c:pt idx="81">
                  <c:v>0</c:v>
                </c:pt>
                <c:pt idx="82">
                  <c:v>0</c:v>
                </c:pt>
                <c:pt idx="84">
                  <c:v>0</c:v>
                </c:pt>
                <c:pt idx="85">
                  <c:v>0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0</c:v>
                </c:pt>
                <c:pt idx="93">
                  <c:v>0</c:v>
                </c:pt>
                <c:pt idx="94">
                  <c:v>0</c:v>
                </c:pt>
                <c:pt idx="96">
                  <c:v>0</c:v>
                </c:pt>
                <c:pt idx="97">
                  <c:v>0</c:v>
                </c:pt>
                <c:pt idx="99">
                  <c:v>0</c:v>
                </c:pt>
                <c:pt idx="100">
                  <c:v>0</c:v>
                </c:pt>
                <c:pt idx="102">
                  <c:v>0</c:v>
                </c:pt>
                <c:pt idx="103">
                  <c:v>0</c:v>
                </c:pt>
                <c:pt idx="105">
                  <c:v>0</c:v>
                </c:pt>
                <c:pt idx="106">
                  <c:v>0</c:v>
                </c:pt>
                <c:pt idx="108">
                  <c:v>0</c:v>
                </c:pt>
                <c:pt idx="109">
                  <c:v>0</c:v>
                </c:pt>
                <c:pt idx="111">
                  <c:v>0</c:v>
                </c:pt>
                <c:pt idx="112">
                  <c:v>0</c:v>
                </c:pt>
                <c:pt idx="114">
                  <c:v>0</c:v>
                </c:pt>
                <c:pt idx="115">
                  <c:v>0</c:v>
                </c:pt>
                <c:pt idx="117">
                  <c:v>0</c:v>
                </c:pt>
                <c:pt idx="118">
                  <c:v>0</c:v>
                </c:pt>
                <c:pt idx="120">
                  <c:v>0</c:v>
                </c:pt>
                <c:pt idx="121">
                  <c:v>0</c:v>
                </c:pt>
                <c:pt idx="123">
                  <c:v>0</c:v>
                </c:pt>
                <c:pt idx="124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Path!$G$2:$G$133</c:f>
              <c:numCache>
                <c:formatCode>0.0</c:formatCode>
                <c:ptCount val="132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  <c:pt idx="52">
                  <c:v>0</c:v>
                </c:pt>
                <c:pt idx="54">
                  <c:v>0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67">
                  <c:v>0</c:v>
                </c:pt>
                <c:pt idx="69">
                  <c:v>0</c:v>
                </c:pt>
                <c:pt idx="70">
                  <c:v>0</c:v>
                </c:pt>
                <c:pt idx="72">
                  <c:v>0</c:v>
                </c:pt>
                <c:pt idx="73">
                  <c:v>0</c:v>
                </c:pt>
                <c:pt idx="75">
                  <c:v>0</c:v>
                </c:pt>
                <c:pt idx="76">
                  <c:v>0</c:v>
                </c:pt>
                <c:pt idx="78">
                  <c:v>0</c:v>
                </c:pt>
                <c:pt idx="79">
                  <c:v>0</c:v>
                </c:pt>
                <c:pt idx="81">
                  <c:v>0</c:v>
                </c:pt>
                <c:pt idx="82">
                  <c:v>0</c:v>
                </c:pt>
                <c:pt idx="84">
                  <c:v>0</c:v>
                </c:pt>
                <c:pt idx="85">
                  <c:v>0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0</c:v>
                </c:pt>
                <c:pt idx="93">
                  <c:v>0</c:v>
                </c:pt>
                <c:pt idx="94">
                  <c:v>0</c:v>
                </c:pt>
                <c:pt idx="96">
                  <c:v>0</c:v>
                </c:pt>
                <c:pt idx="97">
                  <c:v>0</c:v>
                </c:pt>
                <c:pt idx="99">
                  <c:v>0</c:v>
                </c:pt>
                <c:pt idx="100">
                  <c:v>0</c:v>
                </c:pt>
                <c:pt idx="102">
                  <c:v>0</c:v>
                </c:pt>
                <c:pt idx="103">
                  <c:v>0</c:v>
                </c:pt>
                <c:pt idx="105">
                  <c:v>0</c:v>
                </c:pt>
                <c:pt idx="106">
                  <c:v>0</c:v>
                </c:pt>
                <c:pt idx="108">
                  <c:v>0</c:v>
                </c:pt>
                <c:pt idx="109">
                  <c:v>0</c:v>
                </c:pt>
                <c:pt idx="111">
                  <c:v>0</c:v>
                </c:pt>
                <c:pt idx="112">
                  <c:v>0</c:v>
                </c:pt>
                <c:pt idx="114">
                  <c:v>0</c:v>
                </c:pt>
                <c:pt idx="115">
                  <c:v>0</c:v>
                </c:pt>
                <c:pt idx="117">
                  <c:v>0</c:v>
                </c:pt>
                <c:pt idx="118">
                  <c:v>0</c:v>
                </c:pt>
                <c:pt idx="120">
                  <c:v>0</c:v>
                </c:pt>
                <c:pt idx="121">
                  <c:v>0</c:v>
                </c:pt>
                <c:pt idx="123">
                  <c:v>0</c:v>
                </c:pt>
                <c:pt idx="124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0C-4D98-BA5F-360364419AC5}"/>
            </c:ext>
          </c:extLst>
        </c:ser>
        <c:ser>
          <c:idx val="6"/>
          <c:order val="2"/>
          <c:tx>
            <c:v>Driver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Panels!$U$59:$U$74</c:f>
              <c:numCache>
                <c:formatCode>0.0</c:formatCode>
                <c:ptCount val="16"/>
                <c:pt idx="0">
                  <c:v>49.837507763994246</c:v>
                </c:pt>
                <c:pt idx="1">
                  <c:v>43.808008572285473</c:v>
                </c:pt>
                <c:pt idx="2">
                  <c:v>23.745214268363274</c:v>
                </c:pt>
                <c:pt idx="3">
                  <c:v>26.252008243034318</c:v>
                </c:pt>
                <c:pt idx="4">
                  <c:v>31.171251077169089</c:v>
                </c:pt>
                <c:pt idx="5">
                  <c:v>49.322955316561767</c:v>
                </c:pt>
                <c:pt idx="7">
                  <c:v>37.7785093805767</c:v>
                </c:pt>
                <c:pt idx="8">
                  <c:v>43.808008572285473</c:v>
                </c:pt>
                <c:pt idx="9">
                  <c:v>23.745214268363274</c:v>
                </c:pt>
                <c:pt idx="10">
                  <c:v>21.238420293692229</c:v>
                </c:pt>
                <c:pt idx="11">
                  <c:v>26.157663127827</c:v>
                </c:pt>
                <c:pt idx="12">
                  <c:v>38.293061828009179</c:v>
                </c:pt>
                <c:pt idx="14">
                  <c:v>26.157663127827</c:v>
                </c:pt>
                <c:pt idx="15">
                  <c:v>31.171251077169089</c:v>
                </c:pt>
              </c:numCache>
            </c:numRef>
          </c:xVal>
          <c:yVal>
            <c:numRef>
              <c:f>Panels!$V$59:$V$74</c:f>
              <c:numCache>
                <c:formatCode>0.0</c:formatCode>
                <c:ptCount val="16"/>
                <c:pt idx="0">
                  <c:v>77.985890338661036</c:v>
                </c:pt>
                <c:pt idx="1">
                  <c:v>55.945753326900345</c:v>
                </c:pt>
                <c:pt idx="2">
                  <c:v>61.434312766180099</c:v>
                </c:pt>
                <c:pt idx="3">
                  <c:v>70.597608241529187</c:v>
                </c:pt>
                <c:pt idx="4">
                  <c:v>69.251855686705781</c:v>
                </c:pt>
                <c:pt idx="5">
                  <c:v>76.105003372668321</c:v>
                </c:pt>
                <c:pt idx="7">
                  <c:v>33.905616315139653</c:v>
                </c:pt>
                <c:pt idx="8">
                  <c:v>55.945753326900345</c:v>
                </c:pt>
                <c:pt idx="9">
                  <c:v>61.434312766180099</c:v>
                </c:pt>
                <c:pt idx="10">
                  <c:v>52.271017290831018</c:v>
                </c:pt>
                <c:pt idx="11">
                  <c:v>50.92526473600762</c:v>
                </c:pt>
                <c:pt idx="12">
                  <c:v>35.786503281132369</c:v>
                </c:pt>
                <c:pt idx="14">
                  <c:v>50.92526473600762</c:v>
                </c:pt>
                <c:pt idx="15">
                  <c:v>69.251855686705781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90C-4D98-BA5F-360364419AC5}"/>
            </c:ext>
          </c:extLst>
        </c:ser>
        <c:ser>
          <c:idx val="2"/>
          <c:order val="3"/>
          <c:tx>
            <c:v>Adv Centerline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Path!$J$2:$J$133</c:f>
              <c:numCache>
                <c:formatCode>0.0</c:formatCode>
                <c:ptCount val="132"/>
                <c:pt idx="3">
                  <c:v>43.402594974606103</c:v>
                </c:pt>
                <c:pt idx="4">
                  <c:v>43.402594974606103</c:v>
                </c:pt>
                <c:pt idx="5">
                  <c:v>43.402594974606103</c:v>
                </c:pt>
                <c:pt idx="6">
                  <c:v>45.242713685218526</c:v>
                </c:pt>
                <c:pt idx="7">
                  <c:v>45.242713685218526</c:v>
                </c:pt>
                <c:pt idx="8">
                  <c:v>45.242713685218526</c:v>
                </c:pt>
                <c:pt idx="9">
                  <c:v>47.067272070436552</c:v>
                </c:pt>
                <c:pt idx="10">
                  <c:v>47.067272070436552</c:v>
                </c:pt>
                <c:pt idx="11">
                  <c:v>47.067272070436552</c:v>
                </c:pt>
                <c:pt idx="12">
                  <c:v>52.353698345584228</c:v>
                </c:pt>
                <c:pt idx="13">
                  <c:v>52.353698345584228</c:v>
                </c:pt>
                <c:pt idx="14">
                  <c:v>52.353698345584228</c:v>
                </c:pt>
                <c:pt idx="15">
                  <c:v>55.948000339611418</c:v>
                </c:pt>
                <c:pt idx="16">
                  <c:v>55.948000339611418</c:v>
                </c:pt>
                <c:pt idx="17">
                  <c:v>55.948000339611418</c:v>
                </c:pt>
                <c:pt idx="18">
                  <c:v>59.757408015018441</c:v>
                </c:pt>
                <c:pt idx="19">
                  <c:v>59.757408015018441</c:v>
                </c:pt>
                <c:pt idx="20">
                  <c:v>59.757408015018441</c:v>
                </c:pt>
                <c:pt idx="21">
                  <c:v>62.019158958217595</c:v>
                </c:pt>
                <c:pt idx="22">
                  <c:v>62.019158958217595</c:v>
                </c:pt>
                <c:pt idx="23">
                  <c:v>62.019158958217595</c:v>
                </c:pt>
                <c:pt idx="24">
                  <c:v>63.503958077662631</c:v>
                </c:pt>
                <c:pt idx="25">
                  <c:v>63.503958077662631</c:v>
                </c:pt>
                <c:pt idx="26">
                  <c:v>63.503958077662631</c:v>
                </c:pt>
                <c:pt idx="27">
                  <c:v>84.47836502428575</c:v>
                </c:pt>
                <c:pt idx="28">
                  <c:v>84.47836502428575</c:v>
                </c:pt>
                <c:pt idx="29">
                  <c:v>84.47836502428575</c:v>
                </c:pt>
                <c:pt idx="30">
                  <c:v>88.245546752948002</c:v>
                </c:pt>
                <c:pt idx="31">
                  <c:v>88.245546752948002</c:v>
                </c:pt>
                <c:pt idx="32">
                  <c:v>88.245546752948002</c:v>
                </c:pt>
                <c:pt idx="33">
                  <c:v>92.012728481610239</c:v>
                </c:pt>
                <c:pt idx="34">
                  <c:v>92.012728481610239</c:v>
                </c:pt>
                <c:pt idx="35">
                  <c:v>92.012728481610239</c:v>
                </c:pt>
                <c:pt idx="36">
                  <c:v>92.012728481610239</c:v>
                </c:pt>
                <c:pt idx="37">
                  <c:v>92.012728481610239</c:v>
                </c:pt>
                <c:pt idx="38">
                  <c:v>92.012728481610239</c:v>
                </c:pt>
                <c:pt idx="39">
                  <c:v>92.012728481610239</c:v>
                </c:pt>
                <c:pt idx="40">
                  <c:v>92.012728481610239</c:v>
                </c:pt>
                <c:pt idx="41">
                  <c:v>92.012728481610239</c:v>
                </c:pt>
                <c:pt idx="42">
                  <c:v>92.012728481610239</c:v>
                </c:pt>
                <c:pt idx="43">
                  <c:v>92.012728481610239</c:v>
                </c:pt>
                <c:pt idx="44">
                  <c:v>92.012728481610239</c:v>
                </c:pt>
                <c:pt idx="45">
                  <c:v>88.11909272241536</c:v>
                </c:pt>
                <c:pt idx="46">
                  <c:v>88.11909272241536</c:v>
                </c:pt>
                <c:pt idx="47">
                  <c:v>88.11909272241536</c:v>
                </c:pt>
                <c:pt idx="48">
                  <c:v>83.946420182461708</c:v>
                </c:pt>
                <c:pt idx="49">
                  <c:v>83.946420182461708</c:v>
                </c:pt>
                <c:pt idx="50">
                  <c:v>83.946420182461708</c:v>
                </c:pt>
                <c:pt idx="51">
                  <c:v>71.004081650982897</c:v>
                </c:pt>
                <c:pt idx="52">
                  <c:v>71.004081650982897</c:v>
                </c:pt>
                <c:pt idx="53">
                  <c:v>71.004081650982897</c:v>
                </c:pt>
                <c:pt idx="54">
                  <c:v>69.114803389247641</c:v>
                </c:pt>
                <c:pt idx="55">
                  <c:v>69.114803389247641</c:v>
                </c:pt>
                <c:pt idx="56">
                  <c:v>69.114803389247641</c:v>
                </c:pt>
                <c:pt idx="57">
                  <c:v>66.146240450487994</c:v>
                </c:pt>
                <c:pt idx="58">
                  <c:v>66.146240450487994</c:v>
                </c:pt>
                <c:pt idx="59">
                  <c:v>66.146240450487994</c:v>
                </c:pt>
                <c:pt idx="60">
                  <c:v>63.862109443699843</c:v>
                </c:pt>
                <c:pt idx="61">
                  <c:v>63.862109443699843</c:v>
                </c:pt>
                <c:pt idx="62">
                  <c:v>63.862109443699843</c:v>
                </c:pt>
                <c:pt idx="63">
                  <c:v>62.1764860408624</c:v>
                </c:pt>
                <c:pt idx="64">
                  <c:v>62.1764860408624</c:v>
                </c:pt>
                <c:pt idx="65">
                  <c:v>62.1764860408624</c:v>
                </c:pt>
                <c:pt idx="66">
                  <c:v>61.632928141419043</c:v>
                </c:pt>
                <c:pt idx="67">
                  <c:v>61.632928141419043</c:v>
                </c:pt>
                <c:pt idx="68">
                  <c:v>61.632928141419043</c:v>
                </c:pt>
                <c:pt idx="69">
                  <c:v>61.089370241975686</c:v>
                </c:pt>
                <c:pt idx="70">
                  <c:v>61.089370241975686</c:v>
                </c:pt>
                <c:pt idx="71">
                  <c:v>61.089370241975686</c:v>
                </c:pt>
                <c:pt idx="72">
                  <c:v>65.742111368854339</c:v>
                </c:pt>
                <c:pt idx="73">
                  <c:v>65.742111368854339</c:v>
                </c:pt>
                <c:pt idx="74">
                  <c:v>65.742111368854339</c:v>
                </c:pt>
                <c:pt idx="75">
                  <c:v>70.938410395176348</c:v>
                </c:pt>
                <c:pt idx="76">
                  <c:v>70.938410395176348</c:v>
                </c:pt>
                <c:pt idx="77">
                  <c:v>70.938410395176348</c:v>
                </c:pt>
                <c:pt idx="78">
                  <c:v>78.96100135006958</c:v>
                </c:pt>
                <c:pt idx="79">
                  <c:v>78.96100135006958</c:v>
                </c:pt>
                <c:pt idx="80">
                  <c:v>78.96100135006958</c:v>
                </c:pt>
                <c:pt idx="81">
                  <c:v>84.085807109428188</c:v>
                </c:pt>
                <c:pt idx="82">
                  <c:v>84.085807109428188</c:v>
                </c:pt>
                <c:pt idx="83">
                  <c:v>84.085807109428188</c:v>
                </c:pt>
                <c:pt idx="84">
                  <c:v>89.210612868786797</c:v>
                </c:pt>
                <c:pt idx="85">
                  <c:v>89.210612868786797</c:v>
                </c:pt>
                <c:pt idx="86">
                  <c:v>89.210612868786797</c:v>
                </c:pt>
                <c:pt idx="87">
                  <c:v>89.210612868786797</c:v>
                </c:pt>
                <c:pt idx="88">
                  <c:v>89.210612868786797</c:v>
                </c:pt>
                <c:pt idx="89">
                  <c:v>89.210612868786797</c:v>
                </c:pt>
                <c:pt idx="90">
                  <c:v>89.147832042417079</c:v>
                </c:pt>
                <c:pt idx="91">
                  <c:v>89.147832042417079</c:v>
                </c:pt>
                <c:pt idx="92">
                  <c:v>89.147832042417079</c:v>
                </c:pt>
                <c:pt idx="93">
                  <c:v>89.147832042417079</c:v>
                </c:pt>
                <c:pt idx="94">
                  <c:v>89.147832042417079</c:v>
                </c:pt>
                <c:pt idx="95">
                  <c:v>89.147832042417079</c:v>
                </c:pt>
                <c:pt idx="96">
                  <c:v>83.82174806362562</c:v>
                </c:pt>
                <c:pt idx="97">
                  <c:v>83.82174806362562</c:v>
                </c:pt>
                <c:pt idx="98">
                  <c:v>83.82174806362562</c:v>
                </c:pt>
                <c:pt idx="99">
                  <c:v>78.105963704169952</c:v>
                </c:pt>
                <c:pt idx="100">
                  <c:v>78.105963704169952</c:v>
                </c:pt>
                <c:pt idx="101">
                  <c:v>78.105963704169952</c:v>
                </c:pt>
                <c:pt idx="102">
                  <c:v>34.658977886164905</c:v>
                </c:pt>
                <c:pt idx="103">
                  <c:v>34.658977886164905</c:v>
                </c:pt>
                <c:pt idx="104">
                  <c:v>34.658977886164905</c:v>
                </c:pt>
                <c:pt idx="105">
                  <c:v>26.554895917715406</c:v>
                </c:pt>
                <c:pt idx="106">
                  <c:v>26.554895917715406</c:v>
                </c:pt>
                <c:pt idx="107">
                  <c:v>26.554895917715406</c:v>
                </c:pt>
                <c:pt idx="108">
                  <c:v>18.450813949265903</c:v>
                </c:pt>
                <c:pt idx="109">
                  <c:v>18.450813949265903</c:v>
                </c:pt>
                <c:pt idx="110">
                  <c:v>18.450813949265903</c:v>
                </c:pt>
                <c:pt idx="111">
                  <c:v>18.450813949265903</c:v>
                </c:pt>
                <c:pt idx="112">
                  <c:v>18.450813949265903</c:v>
                </c:pt>
                <c:pt idx="113">
                  <c:v>18.450813949265903</c:v>
                </c:pt>
                <c:pt idx="114">
                  <c:v>18.513594775635617</c:v>
                </c:pt>
                <c:pt idx="115">
                  <c:v>18.513594775635617</c:v>
                </c:pt>
                <c:pt idx="116">
                  <c:v>18.513594775635617</c:v>
                </c:pt>
                <c:pt idx="117">
                  <c:v>18.573006712879263</c:v>
                </c:pt>
                <c:pt idx="118">
                  <c:v>18.573006712879263</c:v>
                </c:pt>
                <c:pt idx="119">
                  <c:v>18.573006712879263</c:v>
                </c:pt>
                <c:pt idx="120">
                  <c:v>22.212542063981626</c:v>
                </c:pt>
                <c:pt idx="121">
                  <c:v>22.212542063981626</c:v>
                </c:pt>
                <c:pt idx="122">
                  <c:v>22.212542063981626</c:v>
                </c:pt>
                <c:pt idx="123">
                  <c:v>25.633609828442079</c:v>
                </c:pt>
                <c:pt idx="124">
                  <c:v>25.633609828442079</c:v>
                </c:pt>
                <c:pt idx="125">
                  <c:v>25.633609828442079</c:v>
                </c:pt>
                <c:pt idx="126">
                  <c:v>25.763547324435674</c:v>
                </c:pt>
                <c:pt idx="127">
                  <c:v>25.763547324435674</c:v>
                </c:pt>
                <c:pt idx="128">
                  <c:v>25.763547324435674</c:v>
                </c:pt>
              </c:numCache>
            </c:numRef>
          </c:xVal>
          <c:yVal>
            <c:numRef>
              <c:f>Path!$K$2:$K$133</c:f>
              <c:numCache>
                <c:formatCode>0.0</c:formatCode>
                <c:ptCount val="132"/>
                <c:pt idx="3">
                  <c:v>28.391063961929355</c:v>
                </c:pt>
                <c:pt idx="4">
                  <c:v>28.391063961929355</c:v>
                </c:pt>
                <c:pt idx="5">
                  <c:v>28.391063961929355</c:v>
                </c:pt>
                <c:pt idx="6">
                  <c:v>41.722918765632024</c:v>
                </c:pt>
                <c:pt idx="7">
                  <c:v>41.722918765632024</c:v>
                </c:pt>
                <c:pt idx="8">
                  <c:v>41.722918765632024</c:v>
                </c:pt>
                <c:pt idx="9">
                  <c:v>54.964688893557295</c:v>
                </c:pt>
                <c:pt idx="10">
                  <c:v>54.964688893557295</c:v>
                </c:pt>
                <c:pt idx="11">
                  <c:v>54.964688893557295</c:v>
                </c:pt>
                <c:pt idx="12">
                  <c:v>64.847360799108671</c:v>
                </c:pt>
                <c:pt idx="13">
                  <c:v>64.847360799108671</c:v>
                </c:pt>
                <c:pt idx="14">
                  <c:v>64.847360799108671</c:v>
                </c:pt>
                <c:pt idx="15">
                  <c:v>70.334611366817171</c:v>
                </c:pt>
                <c:pt idx="16">
                  <c:v>70.334611366817171</c:v>
                </c:pt>
                <c:pt idx="17">
                  <c:v>70.334611366817171</c:v>
                </c:pt>
                <c:pt idx="18">
                  <c:v>72.965689153730196</c:v>
                </c:pt>
                <c:pt idx="19">
                  <c:v>72.965689153730196</c:v>
                </c:pt>
                <c:pt idx="20">
                  <c:v>72.965689153730196</c:v>
                </c:pt>
                <c:pt idx="21">
                  <c:v>72.965689153730196</c:v>
                </c:pt>
                <c:pt idx="22">
                  <c:v>72.965689153730196</c:v>
                </c:pt>
                <c:pt idx="23">
                  <c:v>72.965689153730196</c:v>
                </c:pt>
                <c:pt idx="24">
                  <c:v>72.965689153730196</c:v>
                </c:pt>
                <c:pt idx="25">
                  <c:v>72.965689153730196</c:v>
                </c:pt>
                <c:pt idx="26">
                  <c:v>72.965689153730196</c:v>
                </c:pt>
                <c:pt idx="27">
                  <c:v>72.233246179416881</c:v>
                </c:pt>
                <c:pt idx="28">
                  <c:v>72.233246179416881</c:v>
                </c:pt>
                <c:pt idx="29">
                  <c:v>72.233246179416881</c:v>
                </c:pt>
                <c:pt idx="30">
                  <c:v>72.233246179416881</c:v>
                </c:pt>
                <c:pt idx="31">
                  <c:v>72.233246179416881</c:v>
                </c:pt>
                <c:pt idx="32">
                  <c:v>72.233246179416881</c:v>
                </c:pt>
                <c:pt idx="33">
                  <c:v>68.609869269125312</c:v>
                </c:pt>
                <c:pt idx="34">
                  <c:v>68.609869269125312</c:v>
                </c:pt>
                <c:pt idx="35">
                  <c:v>68.609869269125312</c:v>
                </c:pt>
                <c:pt idx="36">
                  <c:v>64.71472050215624</c:v>
                </c:pt>
                <c:pt idx="37">
                  <c:v>64.71472050215624</c:v>
                </c:pt>
                <c:pt idx="38">
                  <c:v>64.71472050215624</c:v>
                </c:pt>
                <c:pt idx="39">
                  <c:v>62.919105211688546</c:v>
                </c:pt>
                <c:pt idx="40">
                  <c:v>62.919105211688546</c:v>
                </c:pt>
                <c:pt idx="41">
                  <c:v>62.919105211688546</c:v>
                </c:pt>
                <c:pt idx="42">
                  <c:v>59.057271872935786</c:v>
                </c:pt>
                <c:pt idx="43">
                  <c:v>59.057271872935786</c:v>
                </c:pt>
                <c:pt idx="44">
                  <c:v>59.057271872935786</c:v>
                </c:pt>
                <c:pt idx="45">
                  <c:v>55.195438534183033</c:v>
                </c:pt>
                <c:pt idx="46">
                  <c:v>55.195438534183033</c:v>
                </c:pt>
                <c:pt idx="47">
                  <c:v>55.195438534183033</c:v>
                </c:pt>
                <c:pt idx="48">
                  <c:v>55.195438534183033</c:v>
                </c:pt>
                <c:pt idx="49">
                  <c:v>55.195438534183033</c:v>
                </c:pt>
                <c:pt idx="50">
                  <c:v>55.195438534183033</c:v>
                </c:pt>
                <c:pt idx="51">
                  <c:v>55.663659097061711</c:v>
                </c:pt>
                <c:pt idx="52">
                  <c:v>55.663659097061711</c:v>
                </c:pt>
                <c:pt idx="53">
                  <c:v>55.663659097061711</c:v>
                </c:pt>
                <c:pt idx="54">
                  <c:v>55.795770302779033</c:v>
                </c:pt>
                <c:pt idx="55">
                  <c:v>55.795770302779033</c:v>
                </c:pt>
                <c:pt idx="56">
                  <c:v>55.795770302779033</c:v>
                </c:pt>
                <c:pt idx="57">
                  <c:v>55.159168899981623</c:v>
                </c:pt>
                <c:pt idx="58">
                  <c:v>55.159168899981623</c:v>
                </c:pt>
                <c:pt idx="59">
                  <c:v>55.159168899981623</c:v>
                </c:pt>
                <c:pt idx="60">
                  <c:v>51.376128392484482</c:v>
                </c:pt>
                <c:pt idx="61">
                  <c:v>51.376128392484482</c:v>
                </c:pt>
                <c:pt idx="62">
                  <c:v>51.376128392484482</c:v>
                </c:pt>
                <c:pt idx="63">
                  <c:v>46.562743539410008</c:v>
                </c:pt>
                <c:pt idx="64">
                  <c:v>46.562743539410008</c:v>
                </c:pt>
                <c:pt idx="65">
                  <c:v>46.562743539410008</c:v>
                </c:pt>
                <c:pt idx="66">
                  <c:v>43.415878940084113</c:v>
                </c:pt>
                <c:pt idx="67">
                  <c:v>43.415878940084113</c:v>
                </c:pt>
                <c:pt idx="68">
                  <c:v>43.415878940084113</c:v>
                </c:pt>
                <c:pt idx="69">
                  <c:v>39.819014340758216</c:v>
                </c:pt>
                <c:pt idx="70">
                  <c:v>39.819014340758216</c:v>
                </c:pt>
                <c:pt idx="71">
                  <c:v>39.819014340758216</c:v>
                </c:pt>
                <c:pt idx="72">
                  <c:v>36.308789116616452</c:v>
                </c:pt>
                <c:pt idx="73">
                  <c:v>36.308789116616452</c:v>
                </c:pt>
                <c:pt idx="74">
                  <c:v>36.308789116616452</c:v>
                </c:pt>
                <c:pt idx="75">
                  <c:v>35.945428491800584</c:v>
                </c:pt>
                <c:pt idx="76">
                  <c:v>35.945428491800584</c:v>
                </c:pt>
                <c:pt idx="77">
                  <c:v>35.945428491800584</c:v>
                </c:pt>
                <c:pt idx="78">
                  <c:v>35.664168695829702</c:v>
                </c:pt>
                <c:pt idx="79">
                  <c:v>35.664168695829702</c:v>
                </c:pt>
                <c:pt idx="80">
                  <c:v>35.664168695829702</c:v>
                </c:pt>
                <c:pt idx="81">
                  <c:v>35.664168695829702</c:v>
                </c:pt>
                <c:pt idx="82">
                  <c:v>35.664168695829702</c:v>
                </c:pt>
                <c:pt idx="83">
                  <c:v>35.664168695829702</c:v>
                </c:pt>
                <c:pt idx="84">
                  <c:v>30.611470903110916</c:v>
                </c:pt>
                <c:pt idx="85">
                  <c:v>30.611470903110916</c:v>
                </c:pt>
                <c:pt idx="86">
                  <c:v>30.611470903110916</c:v>
                </c:pt>
                <c:pt idx="87">
                  <c:v>25.558773110392131</c:v>
                </c:pt>
                <c:pt idx="88">
                  <c:v>25.558773110392131</c:v>
                </c:pt>
                <c:pt idx="89">
                  <c:v>25.558773110392131</c:v>
                </c:pt>
                <c:pt idx="90">
                  <c:v>23.763157819924444</c:v>
                </c:pt>
                <c:pt idx="91">
                  <c:v>23.763157819924444</c:v>
                </c:pt>
                <c:pt idx="92">
                  <c:v>23.763157819924444</c:v>
                </c:pt>
                <c:pt idx="93">
                  <c:v>18.364759435260154</c:v>
                </c:pt>
                <c:pt idx="94">
                  <c:v>18.364759435260154</c:v>
                </c:pt>
                <c:pt idx="95">
                  <c:v>18.364759435260154</c:v>
                </c:pt>
                <c:pt idx="96">
                  <c:v>12.966361050595864</c:v>
                </c:pt>
                <c:pt idx="97">
                  <c:v>12.966361050595864</c:v>
                </c:pt>
                <c:pt idx="98">
                  <c:v>12.966361050595864</c:v>
                </c:pt>
                <c:pt idx="99">
                  <c:v>12.966361050595864</c:v>
                </c:pt>
                <c:pt idx="100">
                  <c:v>12.966361050595864</c:v>
                </c:pt>
                <c:pt idx="101">
                  <c:v>12.966361050595864</c:v>
                </c:pt>
                <c:pt idx="102">
                  <c:v>14.483564354530589</c:v>
                </c:pt>
                <c:pt idx="103">
                  <c:v>14.483564354530589</c:v>
                </c:pt>
                <c:pt idx="104">
                  <c:v>14.483564354530589</c:v>
                </c:pt>
                <c:pt idx="105">
                  <c:v>14.483564354530589</c:v>
                </c:pt>
                <c:pt idx="106">
                  <c:v>14.483564354530589</c:v>
                </c:pt>
                <c:pt idx="107">
                  <c:v>14.483564354530589</c:v>
                </c:pt>
                <c:pt idx="108">
                  <c:v>20.825346531795883</c:v>
                </c:pt>
                <c:pt idx="109">
                  <c:v>20.825346531795883</c:v>
                </c:pt>
                <c:pt idx="110">
                  <c:v>20.825346531795883</c:v>
                </c:pt>
                <c:pt idx="111">
                  <c:v>27.748233735577543</c:v>
                </c:pt>
                <c:pt idx="112">
                  <c:v>27.748233735577543</c:v>
                </c:pt>
                <c:pt idx="113">
                  <c:v>27.748233735577543</c:v>
                </c:pt>
                <c:pt idx="114">
                  <c:v>29.546040045288095</c:v>
                </c:pt>
                <c:pt idx="115">
                  <c:v>29.546040045288095</c:v>
                </c:pt>
                <c:pt idx="116">
                  <c:v>29.546040045288095</c:v>
                </c:pt>
                <c:pt idx="117">
                  <c:v>31.894408778658686</c:v>
                </c:pt>
                <c:pt idx="118">
                  <c:v>31.894408778658686</c:v>
                </c:pt>
                <c:pt idx="119">
                  <c:v>31.894408778658686</c:v>
                </c:pt>
                <c:pt idx="120">
                  <c:v>58.986709757458911</c:v>
                </c:pt>
                <c:pt idx="121">
                  <c:v>58.986709757458911</c:v>
                </c:pt>
                <c:pt idx="122">
                  <c:v>58.986709757458911</c:v>
                </c:pt>
                <c:pt idx="123">
                  <c:v>81.28</c:v>
                </c:pt>
                <c:pt idx="124">
                  <c:v>81.28</c:v>
                </c:pt>
                <c:pt idx="125">
                  <c:v>81.28</c:v>
                </c:pt>
                <c:pt idx="126">
                  <c:v>81.754971489937674</c:v>
                </c:pt>
                <c:pt idx="127">
                  <c:v>81.754971489937674</c:v>
                </c:pt>
                <c:pt idx="128">
                  <c:v>81.754971489937674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90C-4D98-BA5F-360364419AC5}"/>
            </c:ext>
          </c:extLst>
        </c:ser>
        <c:ser>
          <c:idx val="0"/>
          <c:order val="4"/>
          <c:tx>
            <c:v>Axes</c:v>
          </c:tx>
          <c:spPr>
            <a:ln>
              <a:noFill/>
            </a:ln>
          </c:spPr>
          <c:marker>
            <c:symbol val="none"/>
          </c:marker>
          <c:xVal>
            <c:numRef>
              <c:f>Panels!$S$83:$S$87</c:f>
              <c:numCache>
                <c:formatCode>0.0</c:formatCode>
                <c:ptCount val="5"/>
                <c:pt idx="0">
                  <c:v>-5</c:v>
                </c:pt>
                <c:pt idx="1">
                  <c:v>-5</c:v>
                </c:pt>
                <c:pt idx="3">
                  <c:v>-5</c:v>
                </c:pt>
                <c:pt idx="4">
                  <c:v>101.6</c:v>
                </c:pt>
              </c:numCache>
            </c:numRef>
          </c:xVal>
          <c:yVal>
            <c:numRef>
              <c:f>Panels!$T$83:$T$87</c:f>
              <c:numCache>
                <c:formatCode>0.0</c:formatCode>
                <c:ptCount val="5"/>
                <c:pt idx="0">
                  <c:v>-5</c:v>
                </c:pt>
                <c:pt idx="1">
                  <c:v>101.6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90C-4D98-BA5F-360364419AC5}"/>
            </c:ext>
          </c:extLst>
        </c:ser>
        <c:ser>
          <c:idx val="3"/>
          <c:order val="5"/>
          <c:tx>
            <c:v>Guides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Guides!$F$2:$F$28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Guides!$G$2:$G$28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90C-4D98-BA5F-360364419AC5}"/>
            </c:ext>
          </c:extLst>
        </c:ser>
        <c:ser>
          <c:idx val="4"/>
          <c:order val="6"/>
          <c:tx>
            <c:v>Cone Compensation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Path!$AD$25:$AD$27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Path!$AE$25:$AE$27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90C-4D98-BA5F-360364419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690176"/>
        <c:axId val="204692096"/>
      </c:scatterChart>
      <c:valAx>
        <c:axId val="204690176"/>
        <c:scaling>
          <c:orientation val="minMax"/>
        </c:scaling>
        <c:delete val="0"/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Width</a:t>
                </a:r>
              </a:p>
            </c:rich>
          </c:tx>
          <c:layout>
            <c:manualLayout>
              <c:xMode val="edge"/>
              <c:yMode val="edge"/>
              <c:x val="0.51342287063615377"/>
              <c:y val="0.9353679001216083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one"/>
        <c:spPr>
          <a:ln w="3175">
            <a:solidFill>
              <a:srgbClr val="000000"/>
            </a:solidFill>
            <a:prstDash val="solid"/>
          </a:ln>
        </c:spPr>
        <c:crossAx val="204692096"/>
        <c:crosses val="autoZero"/>
        <c:crossBetween val="midCat"/>
      </c:valAx>
      <c:valAx>
        <c:axId val="204692096"/>
        <c:scaling>
          <c:orientation val="minMax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</a:t>
                </a:r>
              </a:p>
            </c:rich>
          </c:tx>
          <c:layout>
            <c:manualLayout>
              <c:xMode val="edge"/>
              <c:yMode val="edge"/>
              <c:x val="1.789727789043092E-2"/>
              <c:y val="0.4544857474211072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one"/>
        <c:spPr>
          <a:ln w="3175">
            <a:solidFill>
              <a:srgbClr val="000000"/>
            </a:solidFill>
            <a:prstDash val="solid"/>
          </a:ln>
        </c:spPr>
        <c:crossAx val="204690176"/>
        <c:crosses val="autoZero"/>
        <c:crossBetween val="midCat"/>
      </c:valAx>
      <c:spPr>
        <a:noFill/>
        <a:ln w="12700">
          <a:solidFill>
            <a:srgbClr val="00000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 vertic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08921868121155E-2"/>
          <c:y val="4.6225676204367364E-2"/>
          <c:w val="0.86577181208053688"/>
          <c:h val="0.85996409335727109"/>
        </c:manualLayout>
      </c:layout>
      <c:scatterChart>
        <c:scatterStyle val="lineMarker"/>
        <c:varyColors val="0"/>
        <c:ser>
          <c:idx val="1"/>
          <c:order val="0"/>
          <c:tx>
            <c:v>Outline</c:v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numRef>
              <c:f>Panels!$F$6:$F$94</c:f>
              <c:numCache>
                <c:formatCode>0.0</c:formatCode>
                <c:ptCount val="89"/>
                <c:pt idx="0">
                  <c:v>99.8</c:v>
                </c:pt>
                <c:pt idx="1">
                  <c:v>99.8</c:v>
                </c:pt>
                <c:pt idx="2">
                  <c:v>101.6</c:v>
                </c:pt>
                <c:pt idx="3">
                  <c:v>101.6</c:v>
                </c:pt>
                <c:pt idx="4">
                  <c:v>99.8</c:v>
                </c:pt>
                <c:pt idx="6">
                  <c:v>0</c:v>
                </c:pt>
                <c:pt idx="7">
                  <c:v>0</c:v>
                </c:pt>
                <c:pt idx="8">
                  <c:v>1.8</c:v>
                </c:pt>
                <c:pt idx="9">
                  <c:v>1.8</c:v>
                </c:pt>
                <c:pt idx="10">
                  <c:v>0</c:v>
                </c:pt>
                <c:pt idx="12">
                  <c:v>49.727094648871351</c:v>
                </c:pt>
                <c:pt idx="13">
                  <c:v>35.346013425758528</c:v>
                </c:pt>
                <c:pt idx="14">
                  <c:v>38.818420132206604</c:v>
                </c:pt>
                <c:pt idx="15">
                  <c:v>53.199501355319427</c:v>
                </c:pt>
                <c:pt idx="16">
                  <c:v>49.727094648871351</c:v>
                </c:pt>
                <c:pt idx="18">
                  <c:v>101.6</c:v>
                </c:pt>
                <c:pt idx="19">
                  <c:v>0</c:v>
                </c:pt>
                <c:pt idx="20">
                  <c:v>0</c:v>
                </c:pt>
                <c:pt idx="21">
                  <c:v>101.6</c:v>
                </c:pt>
                <c:pt idx="22">
                  <c:v>101.6</c:v>
                </c:pt>
                <c:pt idx="24">
                  <c:v>1.8</c:v>
                </c:pt>
                <c:pt idx="25">
                  <c:v>99.8</c:v>
                </c:pt>
                <c:pt idx="26">
                  <c:v>99.8</c:v>
                </c:pt>
                <c:pt idx="27">
                  <c:v>1.8</c:v>
                </c:pt>
                <c:pt idx="28">
                  <c:v>1.8</c:v>
                </c:pt>
                <c:pt idx="30">
                  <c:v>99.8</c:v>
                </c:pt>
                <c:pt idx="31">
                  <c:v>53.199501355319427</c:v>
                </c:pt>
                <c:pt idx="32">
                  <c:v>53.199501355319427</c:v>
                </c:pt>
                <c:pt idx="33">
                  <c:v>99.8</c:v>
                </c:pt>
                <c:pt idx="34">
                  <c:v>99.8</c:v>
                </c:pt>
                <c:pt idx="42">
                  <c:v>35.227189551271238</c:v>
                </c:pt>
                <c:pt idx="43">
                  <c:v>35.10162789853181</c:v>
                </c:pt>
                <c:pt idx="44">
                  <c:v>78.495664084834161</c:v>
                </c:pt>
                <c:pt idx="45">
                  <c:v>78.621225737573582</c:v>
                </c:pt>
                <c:pt idx="46">
                  <c:v>35.227189551271238</c:v>
                </c:pt>
                <c:pt idx="54">
                  <c:v>48.017890467794388</c:v>
                </c:pt>
                <c:pt idx="55">
                  <c:v>52.366353663341243</c:v>
                </c:pt>
                <c:pt idx="56">
                  <c:v>54.140087880611524</c:v>
                </c:pt>
                <c:pt idx="57">
                  <c:v>49.791624685064669</c:v>
                </c:pt>
                <c:pt idx="58">
                  <c:v>48.017890467794388</c:v>
                </c:pt>
                <c:pt idx="60">
                  <c:v>54.140087880611524</c:v>
                </c:pt>
                <c:pt idx="61">
                  <c:v>63.27661190776417</c:v>
                </c:pt>
                <c:pt idx="62">
                  <c:v>61.791812788319135</c:v>
                </c:pt>
                <c:pt idx="63">
                  <c:v>52.655288761166489</c:v>
                </c:pt>
                <c:pt idx="64">
                  <c:v>54.140087880611524</c:v>
                </c:pt>
                <c:pt idx="66">
                  <c:v>63.27661190776417</c:v>
                </c:pt>
                <c:pt idx="67">
                  <c:v>84.225456963220481</c:v>
                </c:pt>
                <c:pt idx="68">
                  <c:v>84.09989531048106</c:v>
                </c:pt>
                <c:pt idx="69">
                  <c:v>63.151050255024757</c:v>
                </c:pt>
                <c:pt idx="70">
                  <c:v>63.27661190776417</c:v>
                </c:pt>
                <c:pt idx="78">
                  <c:v>99.8</c:v>
                </c:pt>
                <c:pt idx="79">
                  <c:v>71.3</c:v>
                </c:pt>
                <c:pt idx="80">
                  <c:v>71.3</c:v>
                </c:pt>
                <c:pt idx="81">
                  <c:v>99.8</c:v>
                </c:pt>
                <c:pt idx="82">
                  <c:v>99.8</c:v>
                </c:pt>
              </c:numCache>
            </c:numRef>
          </c:xVal>
          <c:yVal>
            <c:numRef>
              <c:f>Panels!$G$6:$G$94</c:f>
              <c:numCache>
                <c:formatCode>0.0</c:formatCode>
                <c:ptCount val="89"/>
                <c:pt idx="0">
                  <c:v>81.28</c:v>
                </c:pt>
                <c:pt idx="1">
                  <c:v>0</c:v>
                </c:pt>
                <c:pt idx="2">
                  <c:v>0</c:v>
                </c:pt>
                <c:pt idx="3">
                  <c:v>81.28</c:v>
                </c:pt>
                <c:pt idx="4">
                  <c:v>81.28</c:v>
                </c:pt>
                <c:pt idx="6">
                  <c:v>81.28</c:v>
                </c:pt>
                <c:pt idx="7">
                  <c:v>0</c:v>
                </c:pt>
                <c:pt idx="8">
                  <c:v>0</c:v>
                </c:pt>
                <c:pt idx="9">
                  <c:v>81.28</c:v>
                </c:pt>
                <c:pt idx="10">
                  <c:v>81.28</c:v>
                </c:pt>
                <c:pt idx="12">
                  <c:v>82.229942979875347</c:v>
                </c:pt>
                <c:pt idx="13">
                  <c:v>29.66156367392535</c:v>
                </c:pt>
                <c:pt idx="14">
                  <c:v>28.711620694050008</c:v>
                </c:pt>
                <c:pt idx="15">
                  <c:v>81.28</c:v>
                </c:pt>
                <c:pt idx="16">
                  <c:v>82.229942979875347</c:v>
                </c:pt>
                <c:pt idx="18">
                  <c:v>81.28</c:v>
                </c:pt>
                <c:pt idx="19">
                  <c:v>81.28</c:v>
                </c:pt>
                <c:pt idx="20">
                  <c:v>0</c:v>
                </c:pt>
                <c:pt idx="21">
                  <c:v>0</c:v>
                </c:pt>
                <c:pt idx="22">
                  <c:v>81.28</c:v>
                </c:pt>
                <c:pt idx="24">
                  <c:v>1.8</c:v>
                </c:pt>
                <c:pt idx="25">
                  <c:v>1.8</c:v>
                </c:pt>
                <c:pt idx="26">
                  <c:v>0</c:v>
                </c:pt>
                <c:pt idx="27">
                  <c:v>0</c:v>
                </c:pt>
                <c:pt idx="28">
                  <c:v>1.8</c:v>
                </c:pt>
                <c:pt idx="30">
                  <c:v>81.28</c:v>
                </c:pt>
                <c:pt idx="31">
                  <c:v>81.28</c:v>
                </c:pt>
                <c:pt idx="32">
                  <c:v>79.48</c:v>
                </c:pt>
                <c:pt idx="33">
                  <c:v>79.48</c:v>
                </c:pt>
                <c:pt idx="34">
                  <c:v>81.28</c:v>
                </c:pt>
                <c:pt idx="42">
                  <c:v>28.962743999528861</c:v>
                </c:pt>
                <c:pt idx="43">
                  <c:v>27.167128709061178</c:v>
                </c:pt>
                <c:pt idx="44">
                  <c:v>24.132722101191728</c:v>
                </c:pt>
                <c:pt idx="45">
                  <c:v>25.928337391659412</c:v>
                </c:pt>
                <c:pt idx="46">
                  <c:v>28.962743999528861</c:v>
                </c:pt>
                <c:pt idx="54">
                  <c:v>28.250676581363489</c:v>
                </c:pt>
                <c:pt idx="55">
                  <c:v>53.425593375970678</c:v>
                </c:pt>
                <c:pt idx="56">
                  <c:v>53.119216277471821</c:v>
                </c:pt>
                <c:pt idx="57">
                  <c:v>27.944299482864629</c:v>
                </c:pt>
                <c:pt idx="58">
                  <c:v>28.250676581363489</c:v>
                </c:pt>
                <c:pt idx="60">
                  <c:v>53.119216277471821</c:v>
                </c:pt>
                <c:pt idx="61">
                  <c:v>66.451378307460388</c:v>
                </c:pt>
                <c:pt idx="62">
                  <c:v>67.468910407639669</c:v>
                </c:pt>
                <c:pt idx="63">
                  <c:v>54.136748377651102</c:v>
                </c:pt>
                <c:pt idx="64">
                  <c:v>53.119216277471821</c:v>
                </c:pt>
                <c:pt idx="66">
                  <c:v>66.451378307460388</c:v>
                </c:pt>
                <c:pt idx="67">
                  <c:v>64.986492358833758</c:v>
                </c:pt>
                <c:pt idx="68">
                  <c:v>63.190877068366071</c:v>
                </c:pt>
                <c:pt idx="69">
                  <c:v>64.655763016992708</c:v>
                </c:pt>
                <c:pt idx="70">
                  <c:v>66.451378307460388</c:v>
                </c:pt>
                <c:pt idx="78">
                  <c:v>45.4</c:v>
                </c:pt>
                <c:pt idx="79">
                  <c:v>45.4</c:v>
                </c:pt>
                <c:pt idx="80">
                  <c:v>47.199999999999996</c:v>
                </c:pt>
                <c:pt idx="81">
                  <c:v>47.199999999999996</c:v>
                </c:pt>
                <c:pt idx="82">
                  <c:v>45.4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BB-46FC-A8F8-C2E23DEAC7A3}"/>
            </c:ext>
          </c:extLst>
        </c:ser>
        <c:ser>
          <c:idx val="5"/>
          <c:order val="1"/>
          <c:tx>
            <c:v>Sample Points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Path!$F$2:$F$133</c:f>
              <c:numCache>
                <c:formatCode>0.0</c:formatCode>
                <c:ptCount val="132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  <c:pt idx="52">
                  <c:v>0</c:v>
                </c:pt>
                <c:pt idx="54">
                  <c:v>0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67">
                  <c:v>0</c:v>
                </c:pt>
                <c:pt idx="69">
                  <c:v>0</c:v>
                </c:pt>
                <c:pt idx="70">
                  <c:v>0</c:v>
                </c:pt>
                <c:pt idx="72">
                  <c:v>0</c:v>
                </c:pt>
                <c:pt idx="73">
                  <c:v>0</c:v>
                </c:pt>
                <c:pt idx="75">
                  <c:v>0</c:v>
                </c:pt>
                <c:pt idx="76">
                  <c:v>0</c:v>
                </c:pt>
                <c:pt idx="78">
                  <c:v>0</c:v>
                </c:pt>
                <c:pt idx="79">
                  <c:v>0</c:v>
                </c:pt>
                <c:pt idx="81">
                  <c:v>0</c:v>
                </c:pt>
                <c:pt idx="82">
                  <c:v>0</c:v>
                </c:pt>
                <c:pt idx="84">
                  <c:v>0</c:v>
                </c:pt>
                <c:pt idx="85">
                  <c:v>0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0</c:v>
                </c:pt>
                <c:pt idx="93">
                  <c:v>0</c:v>
                </c:pt>
                <c:pt idx="94">
                  <c:v>0</c:v>
                </c:pt>
                <c:pt idx="96">
                  <c:v>0</c:v>
                </c:pt>
                <c:pt idx="97">
                  <c:v>0</c:v>
                </c:pt>
                <c:pt idx="99">
                  <c:v>0</c:v>
                </c:pt>
                <c:pt idx="100">
                  <c:v>0</c:v>
                </c:pt>
                <c:pt idx="102">
                  <c:v>0</c:v>
                </c:pt>
                <c:pt idx="103">
                  <c:v>0</c:v>
                </c:pt>
                <c:pt idx="105">
                  <c:v>0</c:v>
                </c:pt>
                <c:pt idx="106">
                  <c:v>0</c:v>
                </c:pt>
                <c:pt idx="108">
                  <c:v>0</c:v>
                </c:pt>
                <c:pt idx="109">
                  <c:v>0</c:v>
                </c:pt>
                <c:pt idx="111">
                  <c:v>0</c:v>
                </c:pt>
                <c:pt idx="112">
                  <c:v>0</c:v>
                </c:pt>
                <c:pt idx="114">
                  <c:v>0</c:v>
                </c:pt>
                <c:pt idx="115">
                  <c:v>0</c:v>
                </c:pt>
                <c:pt idx="117">
                  <c:v>0</c:v>
                </c:pt>
                <c:pt idx="118">
                  <c:v>0</c:v>
                </c:pt>
                <c:pt idx="120">
                  <c:v>0</c:v>
                </c:pt>
                <c:pt idx="121">
                  <c:v>0</c:v>
                </c:pt>
                <c:pt idx="123">
                  <c:v>0</c:v>
                </c:pt>
                <c:pt idx="124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Path!$G$2:$G$133</c:f>
              <c:numCache>
                <c:formatCode>0.0</c:formatCode>
                <c:ptCount val="132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  <c:pt idx="52">
                  <c:v>0</c:v>
                </c:pt>
                <c:pt idx="54">
                  <c:v>0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67">
                  <c:v>0</c:v>
                </c:pt>
                <c:pt idx="69">
                  <c:v>0</c:v>
                </c:pt>
                <c:pt idx="70">
                  <c:v>0</c:v>
                </c:pt>
                <c:pt idx="72">
                  <c:v>0</c:v>
                </c:pt>
                <c:pt idx="73">
                  <c:v>0</c:v>
                </c:pt>
                <c:pt idx="75">
                  <c:v>0</c:v>
                </c:pt>
                <c:pt idx="76">
                  <c:v>0</c:v>
                </c:pt>
                <c:pt idx="78">
                  <c:v>0</c:v>
                </c:pt>
                <c:pt idx="79">
                  <c:v>0</c:v>
                </c:pt>
                <c:pt idx="81">
                  <c:v>0</c:v>
                </c:pt>
                <c:pt idx="82">
                  <c:v>0</c:v>
                </c:pt>
                <c:pt idx="84">
                  <c:v>0</c:v>
                </c:pt>
                <c:pt idx="85">
                  <c:v>0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0</c:v>
                </c:pt>
                <c:pt idx="93">
                  <c:v>0</c:v>
                </c:pt>
                <c:pt idx="94">
                  <c:v>0</c:v>
                </c:pt>
                <c:pt idx="96">
                  <c:v>0</c:v>
                </c:pt>
                <c:pt idx="97">
                  <c:v>0</c:v>
                </c:pt>
                <c:pt idx="99">
                  <c:v>0</c:v>
                </c:pt>
                <c:pt idx="100">
                  <c:v>0</c:v>
                </c:pt>
                <c:pt idx="102">
                  <c:v>0</c:v>
                </c:pt>
                <c:pt idx="103">
                  <c:v>0</c:v>
                </c:pt>
                <c:pt idx="105">
                  <c:v>0</c:v>
                </c:pt>
                <c:pt idx="106">
                  <c:v>0</c:v>
                </c:pt>
                <c:pt idx="108">
                  <c:v>0</c:v>
                </c:pt>
                <c:pt idx="109">
                  <c:v>0</c:v>
                </c:pt>
                <c:pt idx="111">
                  <c:v>0</c:v>
                </c:pt>
                <c:pt idx="112">
                  <c:v>0</c:v>
                </c:pt>
                <c:pt idx="114">
                  <c:v>0</c:v>
                </c:pt>
                <c:pt idx="115">
                  <c:v>0</c:v>
                </c:pt>
                <c:pt idx="117">
                  <c:v>0</c:v>
                </c:pt>
                <c:pt idx="118">
                  <c:v>0</c:v>
                </c:pt>
                <c:pt idx="120">
                  <c:v>0</c:v>
                </c:pt>
                <c:pt idx="121">
                  <c:v>0</c:v>
                </c:pt>
                <c:pt idx="123">
                  <c:v>0</c:v>
                </c:pt>
                <c:pt idx="124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BB-46FC-A8F8-C2E23DEAC7A3}"/>
            </c:ext>
          </c:extLst>
        </c:ser>
        <c:ser>
          <c:idx val="6"/>
          <c:order val="2"/>
          <c:tx>
            <c:v>Driver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Panels!$U$59:$U$74</c:f>
              <c:numCache>
                <c:formatCode>0.0</c:formatCode>
                <c:ptCount val="16"/>
                <c:pt idx="0">
                  <c:v>49.837507763994246</c:v>
                </c:pt>
                <c:pt idx="1">
                  <c:v>43.808008572285473</c:v>
                </c:pt>
                <c:pt idx="2">
                  <c:v>23.745214268363274</c:v>
                </c:pt>
                <c:pt idx="3">
                  <c:v>26.252008243034318</c:v>
                </c:pt>
                <c:pt idx="4">
                  <c:v>31.171251077169089</c:v>
                </c:pt>
                <c:pt idx="5">
                  <c:v>49.322955316561767</c:v>
                </c:pt>
                <c:pt idx="7">
                  <c:v>37.7785093805767</c:v>
                </c:pt>
                <c:pt idx="8">
                  <c:v>43.808008572285473</c:v>
                </c:pt>
                <c:pt idx="9">
                  <c:v>23.745214268363274</c:v>
                </c:pt>
                <c:pt idx="10">
                  <c:v>21.238420293692229</c:v>
                </c:pt>
                <c:pt idx="11">
                  <c:v>26.157663127827</c:v>
                </c:pt>
                <c:pt idx="12">
                  <c:v>38.293061828009179</c:v>
                </c:pt>
                <c:pt idx="14">
                  <c:v>26.157663127827</c:v>
                </c:pt>
                <c:pt idx="15">
                  <c:v>31.171251077169089</c:v>
                </c:pt>
              </c:numCache>
            </c:numRef>
          </c:xVal>
          <c:yVal>
            <c:numRef>
              <c:f>Panels!$V$59:$V$74</c:f>
              <c:numCache>
                <c:formatCode>0.0</c:formatCode>
                <c:ptCount val="16"/>
                <c:pt idx="0">
                  <c:v>77.985890338661036</c:v>
                </c:pt>
                <c:pt idx="1">
                  <c:v>55.945753326900345</c:v>
                </c:pt>
                <c:pt idx="2">
                  <c:v>61.434312766180099</c:v>
                </c:pt>
                <c:pt idx="3">
                  <c:v>70.597608241529187</c:v>
                </c:pt>
                <c:pt idx="4">
                  <c:v>69.251855686705781</c:v>
                </c:pt>
                <c:pt idx="5">
                  <c:v>76.105003372668321</c:v>
                </c:pt>
                <c:pt idx="7">
                  <c:v>33.905616315139653</c:v>
                </c:pt>
                <c:pt idx="8">
                  <c:v>55.945753326900345</c:v>
                </c:pt>
                <c:pt idx="9">
                  <c:v>61.434312766180099</c:v>
                </c:pt>
                <c:pt idx="10">
                  <c:v>52.271017290831018</c:v>
                </c:pt>
                <c:pt idx="11">
                  <c:v>50.92526473600762</c:v>
                </c:pt>
                <c:pt idx="12">
                  <c:v>35.786503281132369</c:v>
                </c:pt>
                <c:pt idx="14">
                  <c:v>50.92526473600762</c:v>
                </c:pt>
                <c:pt idx="15">
                  <c:v>69.251855686705781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CBB-46FC-A8F8-C2E23DEAC7A3}"/>
            </c:ext>
          </c:extLst>
        </c:ser>
        <c:ser>
          <c:idx val="2"/>
          <c:order val="3"/>
          <c:tx>
            <c:v>Adv Centerline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Path!$J$2:$J$133</c:f>
              <c:numCache>
                <c:formatCode>0.0</c:formatCode>
                <c:ptCount val="132"/>
                <c:pt idx="3">
                  <c:v>43.402594974606103</c:v>
                </c:pt>
                <c:pt idx="4">
                  <c:v>43.402594974606103</c:v>
                </c:pt>
                <c:pt idx="5">
                  <c:v>43.402594974606103</c:v>
                </c:pt>
                <c:pt idx="6">
                  <c:v>45.242713685218526</c:v>
                </c:pt>
                <c:pt idx="7">
                  <c:v>45.242713685218526</c:v>
                </c:pt>
                <c:pt idx="8">
                  <c:v>45.242713685218526</c:v>
                </c:pt>
                <c:pt idx="9">
                  <c:v>47.067272070436552</c:v>
                </c:pt>
                <c:pt idx="10">
                  <c:v>47.067272070436552</c:v>
                </c:pt>
                <c:pt idx="11">
                  <c:v>47.067272070436552</c:v>
                </c:pt>
                <c:pt idx="12">
                  <c:v>52.353698345584228</c:v>
                </c:pt>
                <c:pt idx="13">
                  <c:v>52.353698345584228</c:v>
                </c:pt>
                <c:pt idx="14">
                  <c:v>52.353698345584228</c:v>
                </c:pt>
                <c:pt idx="15">
                  <c:v>55.948000339611418</c:v>
                </c:pt>
                <c:pt idx="16">
                  <c:v>55.948000339611418</c:v>
                </c:pt>
                <c:pt idx="17">
                  <c:v>55.948000339611418</c:v>
                </c:pt>
                <c:pt idx="18">
                  <c:v>59.757408015018441</c:v>
                </c:pt>
                <c:pt idx="19">
                  <c:v>59.757408015018441</c:v>
                </c:pt>
                <c:pt idx="20">
                  <c:v>59.757408015018441</c:v>
                </c:pt>
                <c:pt idx="21">
                  <c:v>62.019158958217595</c:v>
                </c:pt>
                <c:pt idx="22">
                  <c:v>62.019158958217595</c:v>
                </c:pt>
                <c:pt idx="23">
                  <c:v>62.019158958217595</c:v>
                </c:pt>
                <c:pt idx="24">
                  <c:v>63.503958077662631</c:v>
                </c:pt>
                <c:pt idx="25">
                  <c:v>63.503958077662631</c:v>
                </c:pt>
                <c:pt idx="26">
                  <c:v>63.503958077662631</c:v>
                </c:pt>
                <c:pt idx="27">
                  <c:v>84.47836502428575</c:v>
                </c:pt>
                <c:pt idx="28">
                  <c:v>84.47836502428575</c:v>
                </c:pt>
                <c:pt idx="29">
                  <c:v>84.47836502428575</c:v>
                </c:pt>
                <c:pt idx="30">
                  <c:v>88.245546752948002</c:v>
                </c:pt>
                <c:pt idx="31">
                  <c:v>88.245546752948002</c:v>
                </c:pt>
                <c:pt idx="32">
                  <c:v>88.245546752948002</c:v>
                </c:pt>
                <c:pt idx="33">
                  <c:v>92.012728481610239</c:v>
                </c:pt>
                <c:pt idx="34">
                  <c:v>92.012728481610239</c:v>
                </c:pt>
                <c:pt idx="35">
                  <c:v>92.012728481610239</c:v>
                </c:pt>
                <c:pt idx="36">
                  <c:v>92.012728481610239</c:v>
                </c:pt>
                <c:pt idx="37">
                  <c:v>92.012728481610239</c:v>
                </c:pt>
                <c:pt idx="38">
                  <c:v>92.012728481610239</c:v>
                </c:pt>
                <c:pt idx="39">
                  <c:v>92.012728481610239</c:v>
                </c:pt>
                <c:pt idx="40">
                  <c:v>92.012728481610239</c:v>
                </c:pt>
                <c:pt idx="41">
                  <c:v>92.012728481610239</c:v>
                </c:pt>
                <c:pt idx="42">
                  <c:v>92.012728481610239</c:v>
                </c:pt>
                <c:pt idx="43">
                  <c:v>92.012728481610239</c:v>
                </c:pt>
                <c:pt idx="44">
                  <c:v>92.012728481610239</c:v>
                </c:pt>
                <c:pt idx="45">
                  <c:v>88.11909272241536</c:v>
                </c:pt>
                <c:pt idx="46">
                  <c:v>88.11909272241536</c:v>
                </c:pt>
                <c:pt idx="47">
                  <c:v>88.11909272241536</c:v>
                </c:pt>
                <c:pt idx="48">
                  <c:v>83.946420182461708</c:v>
                </c:pt>
                <c:pt idx="49">
                  <c:v>83.946420182461708</c:v>
                </c:pt>
                <c:pt idx="50">
                  <c:v>83.946420182461708</c:v>
                </c:pt>
                <c:pt idx="51">
                  <c:v>71.004081650982897</c:v>
                </c:pt>
                <c:pt idx="52">
                  <c:v>71.004081650982897</c:v>
                </c:pt>
                <c:pt idx="53">
                  <c:v>71.004081650982897</c:v>
                </c:pt>
                <c:pt idx="54">
                  <c:v>69.114803389247641</c:v>
                </c:pt>
                <c:pt idx="55">
                  <c:v>69.114803389247641</c:v>
                </c:pt>
                <c:pt idx="56">
                  <c:v>69.114803389247641</c:v>
                </c:pt>
                <c:pt idx="57">
                  <c:v>66.146240450487994</c:v>
                </c:pt>
                <c:pt idx="58">
                  <c:v>66.146240450487994</c:v>
                </c:pt>
                <c:pt idx="59">
                  <c:v>66.146240450487994</c:v>
                </c:pt>
                <c:pt idx="60">
                  <c:v>63.862109443699843</c:v>
                </c:pt>
                <c:pt idx="61">
                  <c:v>63.862109443699843</c:v>
                </c:pt>
                <c:pt idx="62">
                  <c:v>63.862109443699843</c:v>
                </c:pt>
                <c:pt idx="63">
                  <c:v>62.1764860408624</c:v>
                </c:pt>
                <c:pt idx="64">
                  <c:v>62.1764860408624</c:v>
                </c:pt>
                <c:pt idx="65">
                  <c:v>62.1764860408624</c:v>
                </c:pt>
                <c:pt idx="66">
                  <c:v>61.632928141419043</c:v>
                </c:pt>
                <c:pt idx="67">
                  <c:v>61.632928141419043</c:v>
                </c:pt>
                <c:pt idx="68">
                  <c:v>61.632928141419043</c:v>
                </c:pt>
                <c:pt idx="69">
                  <c:v>61.089370241975686</c:v>
                </c:pt>
                <c:pt idx="70">
                  <c:v>61.089370241975686</c:v>
                </c:pt>
                <c:pt idx="71">
                  <c:v>61.089370241975686</c:v>
                </c:pt>
                <c:pt idx="72">
                  <c:v>65.742111368854339</c:v>
                </c:pt>
                <c:pt idx="73">
                  <c:v>65.742111368854339</c:v>
                </c:pt>
                <c:pt idx="74">
                  <c:v>65.742111368854339</c:v>
                </c:pt>
                <c:pt idx="75">
                  <c:v>70.938410395176348</c:v>
                </c:pt>
                <c:pt idx="76">
                  <c:v>70.938410395176348</c:v>
                </c:pt>
                <c:pt idx="77">
                  <c:v>70.938410395176348</c:v>
                </c:pt>
                <c:pt idx="78">
                  <c:v>78.96100135006958</c:v>
                </c:pt>
                <c:pt idx="79">
                  <c:v>78.96100135006958</c:v>
                </c:pt>
                <c:pt idx="80">
                  <c:v>78.96100135006958</c:v>
                </c:pt>
                <c:pt idx="81">
                  <c:v>84.085807109428188</c:v>
                </c:pt>
                <c:pt idx="82">
                  <c:v>84.085807109428188</c:v>
                </c:pt>
                <c:pt idx="83">
                  <c:v>84.085807109428188</c:v>
                </c:pt>
                <c:pt idx="84">
                  <c:v>89.210612868786797</c:v>
                </c:pt>
                <c:pt idx="85">
                  <c:v>89.210612868786797</c:v>
                </c:pt>
                <c:pt idx="86">
                  <c:v>89.210612868786797</c:v>
                </c:pt>
                <c:pt idx="87">
                  <c:v>89.210612868786797</c:v>
                </c:pt>
                <c:pt idx="88">
                  <c:v>89.210612868786797</c:v>
                </c:pt>
                <c:pt idx="89">
                  <c:v>89.210612868786797</c:v>
                </c:pt>
                <c:pt idx="90">
                  <c:v>89.147832042417079</c:v>
                </c:pt>
                <c:pt idx="91">
                  <c:v>89.147832042417079</c:v>
                </c:pt>
                <c:pt idx="92">
                  <c:v>89.147832042417079</c:v>
                </c:pt>
                <c:pt idx="93">
                  <c:v>89.147832042417079</c:v>
                </c:pt>
                <c:pt idx="94">
                  <c:v>89.147832042417079</c:v>
                </c:pt>
                <c:pt idx="95">
                  <c:v>89.147832042417079</c:v>
                </c:pt>
                <c:pt idx="96">
                  <c:v>83.82174806362562</c:v>
                </c:pt>
                <c:pt idx="97">
                  <c:v>83.82174806362562</c:v>
                </c:pt>
                <c:pt idx="98">
                  <c:v>83.82174806362562</c:v>
                </c:pt>
                <c:pt idx="99">
                  <c:v>78.105963704169952</c:v>
                </c:pt>
                <c:pt idx="100">
                  <c:v>78.105963704169952</c:v>
                </c:pt>
                <c:pt idx="101">
                  <c:v>78.105963704169952</c:v>
                </c:pt>
                <c:pt idx="102">
                  <c:v>34.658977886164905</c:v>
                </c:pt>
                <c:pt idx="103">
                  <c:v>34.658977886164905</c:v>
                </c:pt>
                <c:pt idx="104">
                  <c:v>34.658977886164905</c:v>
                </c:pt>
                <c:pt idx="105">
                  <c:v>26.554895917715406</c:v>
                </c:pt>
                <c:pt idx="106">
                  <c:v>26.554895917715406</c:v>
                </c:pt>
                <c:pt idx="107">
                  <c:v>26.554895917715406</c:v>
                </c:pt>
                <c:pt idx="108">
                  <c:v>18.450813949265903</c:v>
                </c:pt>
                <c:pt idx="109">
                  <c:v>18.450813949265903</c:v>
                </c:pt>
                <c:pt idx="110">
                  <c:v>18.450813949265903</c:v>
                </c:pt>
                <c:pt idx="111">
                  <c:v>18.450813949265903</c:v>
                </c:pt>
                <c:pt idx="112">
                  <c:v>18.450813949265903</c:v>
                </c:pt>
                <c:pt idx="113">
                  <c:v>18.450813949265903</c:v>
                </c:pt>
                <c:pt idx="114">
                  <c:v>18.513594775635617</c:v>
                </c:pt>
                <c:pt idx="115">
                  <c:v>18.513594775635617</c:v>
                </c:pt>
                <c:pt idx="116">
                  <c:v>18.513594775635617</c:v>
                </c:pt>
                <c:pt idx="117">
                  <c:v>18.573006712879263</c:v>
                </c:pt>
                <c:pt idx="118">
                  <c:v>18.573006712879263</c:v>
                </c:pt>
                <c:pt idx="119">
                  <c:v>18.573006712879263</c:v>
                </c:pt>
                <c:pt idx="120">
                  <c:v>22.212542063981626</c:v>
                </c:pt>
                <c:pt idx="121">
                  <c:v>22.212542063981626</c:v>
                </c:pt>
                <c:pt idx="122">
                  <c:v>22.212542063981626</c:v>
                </c:pt>
                <c:pt idx="123">
                  <c:v>25.633609828442079</c:v>
                </c:pt>
                <c:pt idx="124">
                  <c:v>25.633609828442079</c:v>
                </c:pt>
                <c:pt idx="125">
                  <c:v>25.633609828442079</c:v>
                </c:pt>
                <c:pt idx="126">
                  <c:v>25.763547324435674</c:v>
                </c:pt>
                <c:pt idx="127">
                  <c:v>25.763547324435674</c:v>
                </c:pt>
                <c:pt idx="128">
                  <c:v>25.763547324435674</c:v>
                </c:pt>
              </c:numCache>
            </c:numRef>
          </c:xVal>
          <c:yVal>
            <c:numRef>
              <c:f>Path!$K$2:$K$133</c:f>
              <c:numCache>
                <c:formatCode>0.0</c:formatCode>
                <c:ptCount val="132"/>
                <c:pt idx="3">
                  <c:v>28.391063961929355</c:v>
                </c:pt>
                <c:pt idx="4">
                  <c:v>28.391063961929355</c:v>
                </c:pt>
                <c:pt idx="5">
                  <c:v>28.391063961929355</c:v>
                </c:pt>
                <c:pt idx="6">
                  <c:v>41.722918765632024</c:v>
                </c:pt>
                <c:pt idx="7">
                  <c:v>41.722918765632024</c:v>
                </c:pt>
                <c:pt idx="8">
                  <c:v>41.722918765632024</c:v>
                </c:pt>
                <c:pt idx="9">
                  <c:v>54.964688893557295</c:v>
                </c:pt>
                <c:pt idx="10">
                  <c:v>54.964688893557295</c:v>
                </c:pt>
                <c:pt idx="11">
                  <c:v>54.964688893557295</c:v>
                </c:pt>
                <c:pt idx="12">
                  <c:v>64.847360799108671</c:v>
                </c:pt>
                <c:pt idx="13">
                  <c:v>64.847360799108671</c:v>
                </c:pt>
                <c:pt idx="14">
                  <c:v>64.847360799108671</c:v>
                </c:pt>
                <c:pt idx="15">
                  <c:v>70.334611366817171</c:v>
                </c:pt>
                <c:pt idx="16">
                  <c:v>70.334611366817171</c:v>
                </c:pt>
                <c:pt idx="17">
                  <c:v>70.334611366817171</c:v>
                </c:pt>
                <c:pt idx="18">
                  <c:v>72.965689153730196</c:v>
                </c:pt>
                <c:pt idx="19">
                  <c:v>72.965689153730196</c:v>
                </c:pt>
                <c:pt idx="20">
                  <c:v>72.965689153730196</c:v>
                </c:pt>
                <c:pt idx="21">
                  <c:v>72.965689153730196</c:v>
                </c:pt>
                <c:pt idx="22">
                  <c:v>72.965689153730196</c:v>
                </c:pt>
                <c:pt idx="23">
                  <c:v>72.965689153730196</c:v>
                </c:pt>
                <c:pt idx="24">
                  <c:v>72.965689153730196</c:v>
                </c:pt>
                <c:pt idx="25">
                  <c:v>72.965689153730196</c:v>
                </c:pt>
                <c:pt idx="26">
                  <c:v>72.965689153730196</c:v>
                </c:pt>
                <c:pt idx="27">
                  <c:v>72.233246179416881</c:v>
                </c:pt>
                <c:pt idx="28">
                  <c:v>72.233246179416881</c:v>
                </c:pt>
                <c:pt idx="29">
                  <c:v>72.233246179416881</c:v>
                </c:pt>
                <c:pt idx="30">
                  <c:v>72.233246179416881</c:v>
                </c:pt>
                <c:pt idx="31">
                  <c:v>72.233246179416881</c:v>
                </c:pt>
                <c:pt idx="32">
                  <c:v>72.233246179416881</c:v>
                </c:pt>
                <c:pt idx="33">
                  <c:v>68.609869269125312</c:v>
                </c:pt>
                <c:pt idx="34">
                  <c:v>68.609869269125312</c:v>
                </c:pt>
                <c:pt idx="35">
                  <c:v>68.609869269125312</c:v>
                </c:pt>
                <c:pt idx="36">
                  <c:v>64.71472050215624</c:v>
                </c:pt>
                <c:pt idx="37">
                  <c:v>64.71472050215624</c:v>
                </c:pt>
                <c:pt idx="38">
                  <c:v>64.71472050215624</c:v>
                </c:pt>
                <c:pt idx="39">
                  <c:v>62.919105211688546</c:v>
                </c:pt>
                <c:pt idx="40">
                  <c:v>62.919105211688546</c:v>
                </c:pt>
                <c:pt idx="41">
                  <c:v>62.919105211688546</c:v>
                </c:pt>
                <c:pt idx="42">
                  <c:v>59.057271872935786</c:v>
                </c:pt>
                <c:pt idx="43">
                  <c:v>59.057271872935786</c:v>
                </c:pt>
                <c:pt idx="44">
                  <c:v>59.057271872935786</c:v>
                </c:pt>
                <c:pt idx="45">
                  <c:v>55.195438534183033</c:v>
                </c:pt>
                <c:pt idx="46">
                  <c:v>55.195438534183033</c:v>
                </c:pt>
                <c:pt idx="47">
                  <c:v>55.195438534183033</c:v>
                </c:pt>
                <c:pt idx="48">
                  <c:v>55.195438534183033</c:v>
                </c:pt>
                <c:pt idx="49">
                  <c:v>55.195438534183033</c:v>
                </c:pt>
                <c:pt idx="50">
                  <c:v>55.195438534183033</c:v>
                </c:pt>
                <c:pt idx="51">
                  <c:v>55.663659097061711</c:v>
                </c:pt>
                <c:pt idx="52">
                  <c:v>55.663659097061711</c:v>
                </c:pt>
                <c:pt idx="53">
                  <c:v>55.663659097061711</c:v>
                </c:pt>
                <c:pt idx="54">
                  <c:v>55.795770302779033</c:v>
                </c:pt>
                <c:pt idx="55">
                  <c:v>55.795770302779033</c:v>
                </c:pt>
                <c:pt idx="56">
                  <c:v>55.795770302779033</c:v>
                </c:pt>
                <c:pt idx="57">
                  <c:v>55.159168899981623</c:v>
                </c:pt>
                <c:pt idx="58">
                  <c:v>55.159168899981623</c:v>
                </c:pt>
                <c:pt idx="59">
                  <c:v>55.159168899981623</c:v>
                </c:pt>
                <c:pt idx="60">
                  <c:v>51.376128392484482</c:v>
                </c:pt>
                <c:pt idx="61">
                  <c:v>51.376128392484482</c:v>
                </c:pt>
                <c:pt idx="62">
                  <c:v>51.376128392484482</c:v>
                </c:pt>
                <c:pt idx="63">
                  <c:v>46.562743539410008</c:v>
                </c:pt>
                <c:pt idx="64">
                  <c:v>46.562743539410008</c:v>
                </c:pt>
                <c:pt idx="65">
                  <c:v>46.562743539410008</c:v>
                </c:pt>
                <c:pt idx="66">
                  <c:v>43.415878940084113</c:v>
                </c:pt>
                <c:pt idx="67">
                  <c:v>43.415878940084113</c:v>
                </c:pt>
                <c:pt idx="68">
                  <c:v>43.415878940084113</c:v>
                </c:pt>
                <c:pt idx="69">
                  <c:v>39.819014340758216</c:v>
                </c:pt>
                <c:pt idx="70">
                  <c:v>39.819014340758216</c:v>
                </c:pt>
                <c:pt idx="71">
                  <c:v>39.819014340758216</c:v>
                </c:pt>
                <c:pt idx="72">
                  <c:v>36.308789116616452</c:v>
                </c:pt>
                <c:pt idx="73">
                  <c:v>36.308789116616452</c:v>
                </c:pt>
                <c:pt idx="74">
                  <c:v>36.308789116616452</c:v>
                </c:pt>
                <c:pt idx="75">
                  <c:v>35.945428491800584</c:v>
                </c:pt>
                <c:pt idx="76">
                  <c:v>35.945428491800584</c:v>
                </c:pt>
                <c:pt idx="77">
                  <c:v>35.945428491800584</c:v>
                </c:pt>
                <c:pt idx="78">
                  <c:v>35.664168695829702</c:v>
                </c:pt>
                <c:pt idx="79">
                  <c:v>35.664168695829702</c:v>
                </c:pt>
                <c:pt idx="80">
                  <c:v>35.664168695829702</c:v>
                </c:pt>
                <c:pt idx="81">
                  <c:v>35.664168695829702</c:v>
                </c:pt>
                <c:pt idx="82">
                  <c:v>35.664168695829702</c:v>
                </c:pt>
                <c:pt idx="83">
                  <c:v>35.664168695829702</c:v>
                </c:pt>
                <c:pt idx="84">
                  <c:v>30.611470903110916</c:v>
                </c:pt>
                <c:pt idx="85">
                  <c:v>30.611470903110916</c:v>
                </c:pt>
                <c:pt idx="86">
                  <c:v>30.611470903110916</c:v>
                </c:pt>
                <c:pt idx="87">
                  <c:v>25.558773110392131</c:v>
                </c:pt>
                <c:pt idx="88">
                  <c:v>25.558773110392131</c:v>
                </c:pt>
                <c:pt idx="89">
                  <c:v>25.558773110392131</c:v>
                </c:pt>
                <c:pt idx="90">
                  <c:v>23.763157819924444</c:v>
                </c:pt>
                <c:pt idx="91">
                  <c:v>23.763157819924444</c:v>
                </c:pt>
                <c:pt idx="92">
                  <c:v>23.763157819924444</c:v>
                </c:pt>
                <c:pt idx="93">
                  <c:v>18.364759435260154</c:v>
                </c:pt>
                <c:pt idx="94">
                  <c:v>18.364759435260154</c:v>
                </c:pt>
                <c:pt idx="95">
                  <c:v>18.364759435260154</c:v>
                </c:pt>
                <c:pt idx="96">
                  <c:v>12.966361050595864</c:v>
                </c:pt>
                <c:pt idx="97">
                  <c:v>12.966361050595864</c:v>
                </c:pt>
                <c:pt idx="98">
                  <c:v>12.966361050595864</c:v>
                </c:pt>
                <c:pt idx="99">
                  <c:v>12.966361050595864</c:v>
                </c:pt>
                <c:pt idx="100">
                  <c:v>12.966361050595864</c:v>
                </c:pt>
                <c:pt idx="101">
                  <c:v>12.966361050595864</c:v>
                </c:pt>
                <c:pt idx="102">
                  <c:v>14.483564354530589</c:v>
                </c:pt>
                <c:pt idx="103">
                  <c:v>14.483564354530589</c:v>
                </c:pt>
                <c:pt idx="104">
                  <c:v>14.483564354530589</c:v>
                </c:pt>
                <c:pt idx="105">
                  <c:v>14.483564354530589</c:v>
                </c:pt>
                <c:pt idx="106">
                  <c:v>14.483564354530589</c:v>
                </c:pt>
                <c:pt idx="107">
                  <c:v>14.483564354530589</c:v>
                </c:pt>
                <c:pt idx="108">
                  <c:v>20.825346531795883</c:v>
                </c:pt>
                <c:pt idx="109">
                  <c:v>20.825346531795883</c:v>
                </c:pt>
                <c:pt idx="110">
                  <c:v>20.825346531795883</c:v>
                </c:pt>
                <c:pt idx="111">
                  <c:v>27.748233735577543</c:v>
                </c:pt>
                <c:pt idx="112">
                  <c:v>27.748233735577543</c:v>
                </c:pt>
                <c:pt idx="113">
                  <c:v>27.748233735577543</c:v>
                </c:pt>
                <c:pt idx="114">
                  <c:v>29.546040045288095</c:v>
                </c:pt>
                <c:pt idx="115">
                  <c:v>29.546040045288095</c:v>
                </c:pt>
                <c:pt idx="116">
                  <c:v>29.546040045288095</c:v>
                </c:pt>
                <c:pt idx="117">
                  <c:v>31.894408778658686</c:v>
                </c:pt>
                <c:pt idx="118">
                  <c:v>31.894408778658686</c:v>
                </c:pt>
                <c:pt idx="119">
                  <c:v>31.894408778658686</c:v>
                </c:pt>
                <c:pt idx="120">
                  <c:v>58.986709757458911</c:v>
                </c:pt>
                <c:pt idx="121">
                  <c:v>58.986709757458911</c:v>
                </c:pt>
                <c:pt idx="122">
                  <c:v>58.986709757458911</c:v>
                </c:pt>
                <c:pt idx="123">
                  <c:v>81.28</c:v>
                </c:pt>
                <c:pt idx="124">
                  <c:v>81.28</c:v>
                </c:pt>
                <c:pt idx="125">
                  <c:v>81.28</c:v>
                </c:pt>
                <c:pt idx="126">
                  <c:v>81.754971489937674</c:v>
                </c:pt>
                <c:pt idx="127">
                  <c:v>81.754971489937674</c:v>
                </c:pt>
                <c:pt idx="128">
                  <c:v>81.754971489937674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CBB-46FC-A8F8-C2E23DEAC7A3}"/>
            </c:ext>
          </c:extLst>
        </c:ser>
        <c:ser>
          <c:idx val="0"/>
          <c:order val="4"/>
          <c:tx>
            <c:v>Axes</c:v>
          </c:tx>
          <c:spPr>
            <a:ln>
              <a:noFill/>
            </a:ln>
          </c:spPr>
          <c:marker>
            <c:symbol val="none"/>
          </c:marker>
          <c:xVal>
            <c:numRef>
              <c:f>Panels!$S$83:$S$87</c:f>
              <c:numCache>
                <c:formatCode>0.0</c:formatCode>
                <c:ptCount val="5"/>
                <c:pt idx="0">
                  <c:v>-5</c:v>
                </c:pt>
                <c:pt idx="1">
                  <c:v>-5</c:v>
                </c:pt>
                <c:pt idx="3">
                  <c:v>-5</c:v>
                </c:pt>
                <c:pt idx="4">
                  <c:v>101.6</c:v>
                </c:pt>
              </c:numCache>
            </c:numRef>
          </c:xVal>
          <c:yVal>
            <c:numRef>
              <c:f>Panels!$T$83:$T$87</c:f>
              <c:numCache>
                <c:formatCode>0.0</c:formatCode>
                <c:ptCount val="5"/>
                <c:pt idx="0">
                  <c:v>-5</c:v>
                </c:pt>
                <c:pt idx="1">
                  <c:v>101.6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CBB-46FC-A8F8-C2E23DEAC7A3}"/>
            </c:ext>
          </c:extLst>
        </c:ser>
        <c:ser>
          <c:idx val="3"/>
          <c:order val="5"/>
          <c:tx>
            <c:v>Guides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5493177922139661E-3"/>
                  <c:y val="-1.4247551202137132E-2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BB-46FC-A8F8-C2E23DEAC7A3}"/>
                </c:ext>
              </c:extLst>
            </c:dLbl>
            <c:dLbl>
              <c:idx val="1"/>
              <c:layout>
                <c:manualLayout>
                  <c:x val="-1.8867680493527484E-2"/>
                  <c:y val="1.543484713564856E-2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BB-46FC-A8F8-C2E23DEAC7A3}"/>
                </c:ext>
              </c:extLst>
            </c:dLbl>
            <c:dLbl>
              <c:idx val="3"/>
              <c:layout>
                <c:manualLayout>
                  <c:x val="-1.4428226259756313E-2"/>
                  <c:y val="-1.3060255268625705E-2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BB-46FC-A8F8-C2E23DEAC7A3}"/>
                </c:ext>
              </c:extLst>
            </c:dLbl>
            <c:dLbl>
              <c:idx val="4"/>
              <c:layout>
                <c:manualLayout>
                  <c:x val="-1.7757816935084693E-2"/>
                  <c:y val="1.543484713564856E-2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CBB-46FC-A8F8-C2E23DEAC7A3}"/>
                </c:ext>
              </c:extLst>
            </c:dLbl>
            <c:dLbl>
              <c:idx val="6"/>
              <c:layout>
                <c:manualLayout>
                  <c:x val="-2.1087407610413073E-2"/>
                  <c:y val="-1.8996734936182844E-2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CBB-46FC-A8F8-C2E23DEAC7A3}"/>
                </c:ext>
              </c:extLst>
            </c:dLbl>
            <c:dLbl>
              <c:idx val="7"/>
              <c:layout>
                <c:manualLayout>
                  <c:x val="-1.6647981450278748E-2"/>
                  <c:y val="1.4247551202137132E-2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CBB-46FC-A8F8-C2E23DEAC7A3}"/>
                </c:ext>
              </c:extLst>
            </c:dLbl>
            <c:dLbl>
              <c:idx val="9"/>
              <c:layout>
                <c:manualLayout>
                  <c:x val="-1.8867767884358858E-2"/>
                  <c:y val="-1.4247551202137132E-2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CBB-46FC-A8F8-C2E23DEAC7A3}"/>
                </c:ext>
              </c:extLst>
            </c:dLbl>
            <c:dLbl>
              <c:idx val="10"/>
              <c:layout>
                <c:manualLayout>
                  <c:x val="-1.775781693508461E-2"/>
                  <c:y val="1.543484713564856E-2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CBB-46FC-A8F8-C2E23DEAC7A3}"/>
                </c:ext>
              </c:extLst>
            </c:dLbl>
            <c:dLbl>
              <c:idx val="12"/>
              <c:layout>
                <c:manualLayout>
                  <c:x val="-2.5533315413008843E-2"/>
                  <c:y val="1.6622143069159989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0</a:t>
                    </a:r>
                    <a:endParaRPr lang="en-US" b="1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CBB-46FC-A8F8-C2E23DEAC7A3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CBB-46FC-A8F8-C2E23DEAC7A3}"/>
                </c:ext>
              </c:extLst>
            </c:dLbl>
            <c:dLbl>
              <c:idx val="15"/>
              <c:layout>
                <c:manualLayout>
                  <c:x val="-4.9947440999517027E-2"/>
                  <c:y val="1.1872959335114278E-3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CBB-46FC-A8F8-C2E23DEAC7A3}"/>
                </c:ext>
              </c:extLst>
            </c:dLbl>
            <c:dLbl>
              <c:idx val="16"/>
              <c:spPr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CBB-46FC-A8F8-C2E23DEAC7A3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CBB-46FC-A8F8-C2E23DEAC7A3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CBB-46FC-A8F8-C2E23DEAC7A3}"/>
                </c:ext>
              </c:extLst>
            </c:dLbl>
            <c:dLbl>
              <c:idx val="21"/>
              <c:layout>
                <c:manualLayout>
                  <c:x val="-5.2167463246944233E-2"/>
                  <c:y val="4.3533681323950821E-17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CBB-46FC-A8F8-C2E23DEAC7A3}"/>
                </c:ext>
              </c:extLst>
            </c:dLbl>
            <c:dLbl>
              <c:idx val="22"/>
              <c:spPr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CBB-46FC-A8F8-C2E23DEAC7A3}"/>
                </c:ext>
              </c:extLst>
            </c:dLbl>
            <c:dLbl>
              <c:idx val="24"/>
              <c:layout>
                <c:manualLayout>
                  <c:x val="-4.99480529130361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CBB-46FC-A8F8-C2E23DEAC7A3}"/>
                </c:ext>
              </c:extLst>
            </c:dLbl>
            <c:dLbl>
              <c:idx val="25"/>
              <c:spPr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CBB-46FC-A8F8-C2E23DEAC7A3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CBB-46FC-A8F8-C2E23DEAC7A3}"/>
                </c:ext>
              </c:extLst>
            </c:dLbl>
            <c:dLbl>
              <c:idx val="28"/>
              <c:layout>
                <c:manualLayout>
                  <c:x val="-5.328892589508742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81.3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CBB-46FC-A8F8-C2E23DEAC7A3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CBB-46FC-A8F8-C2E23DEAC7A3}"/>
                </c:ext>
              </c:extLst>
            </c:dLbl>
            <c:dLbl>
              <c:idx val="31"/>
              <c:layout>
                <c:manualLayout>
                  <c:x val="-2.5534276991396057E-2"/>
                  <c:y val="1.543484713564856E-2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CBB-46FC-A8F8-C2E23DEAC7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Guides!$F$2:$F$34</c:f>
              <c:numCache>
                <c:formatCode>0.0</c:formatCode>
                <c:ptCount val="33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Guides!$G$2:$G$34</c:f>
              <c:numCache>
                <c:formatCode>0.0</c:formatCode>
                <c:ptCount val="33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CBB-46FC-A8F8-C2E23DEAC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433280"/>
        <c:axId val="204455936"/>
      </c:scatterChart>
      <c:valAx>
        <c:axId val="204433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Height</a:t>
                </a:r>
              </a:p>
            </c:rich>
          </c:tx>
          <c:layout>
            <c:manualLayout>
              <c:xMode val="edge"/>
              <c:yMode val="edge"/>
              <c:x val="0.51342289124766982"/>
              <c:y val="0.9353679098216016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one"/>
        <c:spPr>
          <a:ln w="3175">
            <a:solidFill>
              <a:srgbClr val="000000"/>
            </a:solidFill>
            <a:prstDash val="solid"/>
          </a:ln>
        </c:spPr>
        <c:crossAx val="204455936"/>
        <c:crosses val="autoZero"/>
        <c:crossBetween val="midCat"/>
      </c:valAx>
      <c:valAx>
        <c:axId val="204455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</a:t>
                </a:r>
              </a:p>
            </c:rich>
          </c:tx>
          <c:layout>
            <c:manualLayout>
              <c:xMode val="edge"/>
              <c:yMode val="edge"/>
              <c:x val="1.7897246607704427E-2"/>
              <c:y val="0.4544857582917896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one"/>
        <c:spPr>
          <a:ln w="3175">
            <a:solidFill>
              <a:srgbClr val="000000"/>
            </a:solidFill>
            <a:prstDash val="solid"/>
          </a:ln>
        </c:spPr>
        <c:crossAx val="204433280"/>
        <c:crosses val="autoZero"/>
        <c:crossBetween val="midCat"/>
      </c:valAx>
      <c:spPr>
        <a:noFill/>
        <a:ln w="12700">
          <a:solidFill>
            <a:srgbClr val="00000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 vertic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08921868121155E-2"/>
          <c:y val="4.6225676204367364E-2"/>
          <c:w val="0.86577181208053688"/>
          <c:h val="0.85996409335727109"/>
        </c:manualLayout>
      </c:layout>
      <c:scatterChart>
        <c:scatterStyle val="lineMarker"/>
        <c:varyColors val="0"/>
        <c:ser>
          <c:idx val="1"/>
          <c:order val="0"/>
          <c:tx>
            <c:v>Outline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Panels!$F$6:$F$94</c:f>
              <c:numCache>
                <c:formatCode>0.0</c:formatCode>
                <c:ptCount val="89"/>
                <c:pt idx="0">
                  <c:v>99.8</c:v>
                </c:pt>
                <c:pt idx="1">
                  <c:v>99.8</c:v>
                </c:pt>
                <c:pt idx="2">
                  <c:v>101.6</c:v>
                </c:pt>
                <c:pt idx="3">
                  <c:v>101.6</c:v>
                </c:pt>
                <c:pt idx="4">
                  <c:v>99.8</c:v>
                </c:pt>
                <c:pt idx="6">
                  <c:v>0</c:v>
                </c:pt>
                <c:pt idx="7">
                  <c:v>0</c:v>
                </c:pt>
                <c:pt idx="8">
                  <c:v>1.8</c:v>
                </c:pt>
                <c:pt idx="9">
                  <c:v>1.8</c:v>
                </c:pt>
                <c:pt idx="10">
                  <c:v>0</c:v>
                </c:pt>
                <c:pt idx="12">
                  <c:v>49.727094648871351</c:v>
                </c:pt>
                <c:pt idx="13">
                  <c:v>35.346013425758528</c:v>
                </c:pt>
                <c:pt idx="14">
                  <c:v>38.818420132206604</c:v>
                </c:pt>
                <c:pt idx="15">
                  <c:v>53.199501355319427</c:v>
                </c:pt>
                <c:pt idx="16">
                  <c:v>49.727094648871351</c:v>
                </c:pt>
                <c:pt idx="18">
                  <c:v>101.6</c:v>
                </c:pt>
                <c:pt idx="19">
                  <c:v>0</c:v>
                </c:pt>
                <c:pt idx="20">
                  <c:v>0</c:v>
                </c:pt>
                <c:pt idx="21">
                  <c:v>101.6</c:v>
                </c:pt>
                <c:pt idx="22">
                  <c:v>101.6</c:v>
                </c:pt>
                <c:pt idx="24">
                  <c:v>1.8</c:v>
                </c:pt>
                <c:pt idx="25">
                  <c:v>99.8</c:v>
                </c:pt>
                <c:pt idx="26">
                  <c:v>99.8</c:v>
                </c:pt>
                <c:pt idx="27">
                  <c:v>1.8</c:v>
                </c:pt>
                <c:pt idx="28">
                  <c:v>1.8</c:v>
                </c:pt>
                <c:pt idx="30">
                  <c:v>99.8</c:v>
                </c:pt>
                <c:pt idx="31">
                  <c:v>53.199501355319427</c:v>
                </c:pt>
                <c:pt idx="32">
                  <c:v>53.199501355319427</c:v>
                </c:pt>
                <c:pt idx="33">
                  <c:v>99.8</c:v>
                </c:pt>
                <c:pt idx="34">
                  <c:v>99.8</c:v>
                </c:pt>
                <c:pt idx="42">
                  <c:v>35.227189551271238</c:v>
                </c:pt>
                <c:pt idx="43">
                  <c:v>35.10162789853181</c:v>
                </c:pt>
                <c:pt idx="44">
                  <c:v>78.495664084834161</c:v>
                </c:pt>
                <c:pt idx="45">
                  <c:v>78.621225737573582</c:v>
                </c:pt>
                <c:pt idx="46">
                  <c:v>35.227189551271238</c:v>
                </c:pt>
                <c:pt idx="54">
                  <c:v>48.017890467794388</c:v>
                </c:pt>
                <c:pt idx="55">
                  <c:v>52.366353663341243</c:v>
                </c:pt>
                <c:pt idx="56">
                  <c:v>54.140087880611524</c:v>
                </c:pt>
                <c:pt idx="57">
                  <c:v>49.791624685064669</c:v>
                </c:pt>
                <c:pt idx="58">
                  <c:v>48.017890467794388</c:v>
                </c:pt>
                <c:pt idx="60">
                  <c:v>54.140087880611524</c:v>
                </c:pt>
                <c:pt idx="61">
                  <c:v>63.27661190776417</c:v>
                </c:pt>
                <c:pt idx="62">
                  <c:v>61.791812788319135</c:v>
                </c:pt>
                <c:pt idx="63">
                  <c:v>52.655288761166489</c:v>
                </c:pt>
                <c:pt idx="64">
                  <c:v>54.140087880611524</c:v>
                </c:pt>
                <c:pt idx="66">
                  <c:v>63.27661190776417</c:v>
                </c:pt>
                <c:pt idx="67">
                  <c:v>84.225456963220481</c:v>
                </c:pt>
                <c:pt idx="68">
                  <c:v>84.09989531048106</c:v>
                </c:pt>
                <c:pt idx="69">
                  <c:v>63.151050255024757</c:v>
                </c:pt>
                <c:pt idx="70">
                  <c:v>63.27661190776417</c:v>
                </c:pt>
                <c:pt idx="78">
                  <c:v>99.8</c:v>
                </c:pt>
                <c:pt idx="79">
                  <c:v>71.3</c:v>
                </c:pt>
                <c:pt idx="80">
                  <c:v>71.3</c:v>
                </c:pt>
                <c:pt idx="81">
                  <c:v>99.8</c:v>
                </c:pt>
                <c:pt idx="82">
                  <c:v>99.8</c:v>
                </c:pt>
              </c:numCache>
            </c:numRef>
          </c:xVal>
          <c:yVal>
            <c:numRef>
              <c:f>Panels!$G$6:$G$94</c:f>
              <c:numCache>
                <c:formatCode>0.0</c:formatCode>
                <c:ptCount val="89"/>
                <c:pt idx="0">
                  <c:v>81.28</c:v>
                </c:pt>
                <c:pt idx="1">
                  <c:v>0</c:v>
                </c:pt>
                <c:pt idx="2">
                  <c:v>0</c:v>
                </c:pt>
                <c:pt idx="3">
                  <c:v>81.28</c:v>
                </c:pt>
                <c:pt idx="4">
                  <c:v>81.28</c:v>
                </c:pt>
                <c:pt idx="6">
                  <c:v>81.28</c:v>
                </c:pt>
                <c:pt idx="7">
                  <c:v>0</c:v>
                </c:pt>
                <c:pt idx="8">
                  <c:v>0</c:v>
                </c:pt>
                <c:pt idx="9">
                  <c:v>81.28</c:v>
                </c:pt>
                <c:pt idx="10">
                  <c:v>81.28</c:v>
                </c:pt>
                <c:pt idx="12">
                  <c:v>82.229942979875347</c:v>
                </c:pt>
                <c:pt idx="13">
                  <c:v>29.66156367392535</c:v>
                </c:pt>
                <c:pt idx="14">
                  <c:v>28.711620694050008</c:v>
                </c:pt>
                <c:pt idx="15">
                  <c:v>81.28</c:v>
                </c:pt>
                <c:pt idx="16">
                  <c:v>82.229942979875347</c:v>
                </c:pt>
                <c:pt idx="18">
                  <c:v>81.28</c:v>
                </c:pt>
                <c:pt idx="19">
                  <c:v>81.28</c:v>
                </c:pt>
                <c:pt idx="20">
                  <c:v>0</c:v>
                </c:pt>
                <c:pt idx="21">
                  <c:v>0</c:v>
                </c:pt>
                <c:pt idx="22">
                  <c:v>81.28</c:v>
                </c:pt>
                <c:pt idx="24">
                  <c:v>1.8</c:v>
                </c:pt>
                <c:pt idx="25">
                  <c:v>1.8</c:v>
                </c:pt>
                <c:pt idx="26">
                  <c:v>0</c:v>
                </c:pt>
                <c:pt idx="27">
                  <c:v>0</c:v>
                </c:pt>
                <c:pt idx="28">
                  <c:v>1.8</c:v>
                </c:pt>
                <c:pt idx="30">
                  <c:v>81.28</c:v>
                </c:pt>
                <c:pt idx="31">
                  <c:v>81.28</c:v>
                </c:pt>
                <c:pt idx="32">
                  <c:v>79.48</c:v>
                </c:pt>
                <c:pt idx="33">
                  <c:v>79.48</c:v>
                </c:pt>
                <c:pt idx="34">
                  <c:v>81.28</c:v>
                </c:pt>
                <c:pt idx="42">
                  <c:v>28.962743999528861</c:v>
                </c:pt>
                <c:pt idx="43">
                  <c:v>27.167128709061178</c:v>
                </c:pt>
                <c:pt idx="44">
                  <c:v>24.132722101191728</c:v>
                </c:pt>
                <c:pt idx="45">
                  <c:v>25.928337391659412</c:v>
                </c:pt>
                <c:pt idx="46">
                  <c:v>28.962743999528861</c:v>
                </c:pt>
                <c:pt idx="54">
                  <c:v>28.250676581363489</c:v>
                </c:pt>
                <c:pt idx="55">
                  <c:v>53.425593375970678</c:v>
                </c:pt>
                <c:pt idx="56">
                  <c:v>53.119216277471821</c:v>
                </c:pt>
                <c:pt idx="57">
                  <c:v>27.944299482864629</c:v>
                </c:pt>
                <c:pt idx="58">
                  <c:v>28.250676581363489</c:v>
                </c:pt>
                <c:pt idx="60">
                  <c:v>53.119216277471821</c:v>
                </c:pt>
                <c:pt idx="61">
                  <c:v>66.451378307460388</c:v>
                </c:pt>
                <c:pt idx="62">
                  <c:v>67.468910407639669</c:v>
                </c:pt>
                <c:pt idx="63">
                  <c:v>54.136748377651102</c:v>
                </c:pt>
                <c:pt idx="64">
                  <c:v>53.119216277471821</c:v>
                </c:pt>
                <c:pt idx="66">
                  <c:v>66.451378307460388</c:v>
                </c:pt>
                <c:pt idx="67">
                  <c:v>64.986492358833758</c:v>
                </c:pt>
                <c:pt idx="68">
                  <c:v>63.190877068366071</c:v>
                </c:pt>
                <c:pt idx="69">
                  <c:v>64.655763016992708</c:v>
                </c:pt>
                <c:pt idx="70">
                  <c:v>66.451378307460388</c:v>
                </c:pt>
                <c:pt idx="78">
                  <c:v>45.4</c:v>
                </c:pt>
                <c:pt idx="79">
                  <c:v>45.4</c:v>
                </c:pt>
                <c:pt idx="80">
                  <c:v>47.199999999999996</c:v>
                </c:pt>
                <c:pt idx="81">
                  <c:v>47.199999999999996</c:v>
                </c:pt>
                <c:pt idx="82">
                  <c:v>45.4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E8-49AA-A863-AA0D313E10E9}"/>
            </c:ext>
          </c:extLst>
        </c:ser>
        <c:ser>
          <c:idx val="5"/>
          <c:order val="1"/>
          <c:tx>
            <c:v>Sample Points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Path!$F$2:$F$133</c:f>
              <c:numCache>
                <c:formatCode>0.0</c:formatCode>
                <c:ptCount val="132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  <c:pt idx="52">
                  <c:v>0</c:v>
                </c:pt>
                <c:pt idx="54">
                  <c:v>0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67">
                  <c:v>0</c:v>
                </c:pt>
                <c:pt idx="69">
                  <c:v>0</c:v>
                </c:pt>
                <c:pt idx="70">
                  <c:v>0</c:v>
                </c:pt>
                <c:pt idx="72">
                  <c:v>0</c:v>
                </c:pt>
                <c:pt idx="73">
                  <c:v>0</c:v>
                </c:pt>
                <c:pt idx="75">
                  <c:v>0</c:v>
                </c:pt>
                <c:pt idx="76">
                  <c:v>0</c:v>
                </c:pt>
                <c:pt idx="78">
                  <c:v>0</c:v>
                </c:pt>
                <c:pt idx="79">
                  <c:v>0</c:v>
                </c:pt>
                <c:pt idx="81">
                  <c:v>0</c:v>
                </c:pt>
                <c:pt idx="82">
                  <c:v>0</c:v>
                </c:pt>
                <c:pt idx="84">
                  <c:v>0</c:v>
                </c:pt>
                <c:pt idx="85">
                  <c:v>0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0</c:v>
                </c:pt>
                <c:pt idx="93">
                  <c:v>0</c:v>
                </c:pt>
                <c:pt idx="94">
                  <c:v>0</c:v>
                </c:pt>
                <c:pt idx="96">
                  <c:v>0</c:v>
                </c:pt>
                <c:pt idx="97">
                  <c:v>0</c:v>
                </c:pt>
                <c:pt idx="99">
                  <c:v>0</c:v>
                </c:pt>
                <c:pt idx="100">
                  <c:v>0</c:v>
                </c:pt>
                <c:pt idx="102">
                  <c:v>0</c:v>
                </c:pt>
                <c:pt idx="103">
                  <c:v>0</c:v>
                </c:pt>
                <c:pt idx="105">
                  <c:v>0</c:v>
                </c:pt>
                <c:pt idx="106">
                  <c:v>0</c:v>
                </c:pt>
                <c:pt idx="108">
                  <c:v>0</c:v>
                </c:pt>
                <c:pt idx="109">
                  <c:v>0</c:v>
                </c:pt>
                <c:pt idx="111">
                  <c:v>0</c:v>
                </c:pt>
                <c:pt idx="112">
                  <c:v>0</c:v>
                </c:pt>
                <c:pt idx="114">
                  <c:v>0</c:v>
                </c:pt>
                <c:pt idx="115">
                  <c:v>0</c:v>
                </c:pt>
                <c:pt idx="117">
                  <c:v>0</c:v>
                </c:pt>
                <c:pt idx="118">
                  <c:v>0</c:v>
                </c:pt>
                <c:pt idx="120">
                  <c:v>0</c:v>
                </c:pt>
                <c:pt idx="121">
                  <c:v>0</c:v>
                </c:pt>
                <c:pt idx="123">
                  <c:v>0</c:v>
                </c:pt>
                <c:pt idx="124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Path!$G$2:$G$133</c:f>
              <c:numCache>
                <c:formatCode>0.0</c:formatCode>
                <c:ptCount val="132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  <c:pt idx="52">
                  <c:v>0</c:v>
                </c:pt>
                <c:pt idx="54">
                  <c:v>0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67">
                  <c:v>0</c:v>
                </c:pt>
                <c:pt idx="69">
                  <c:v>0</c:v>
                </c:pt>
                <c:pt idx="70">
                  <c:v>0</c:v>
                </c:pt>
                <c:pt idx="72">
                  <c:v>0</c:v>
                </c:pt>
                <c:pt idx="73">
                  <c:v>0</c:v>
                </c:pt>
                <c:pt idx="75">
                  <c:v>0</c:v>
                </c:pt>
                <c:pt idx="76">
                  <c:v>0</c:v>
                </c:pt>
                <c:pt idx="78">
                  <c:v>0</c:v>
                </c:pt>
                <c:pt idx="79">
                  <c:v>0</c:v>
                </c:pt>
                <c:pt idx="81">
                  <c:v>0</c:v>
                </c:pt>
                <c:pt idx="82">
                  <c:v>0</c:v>
                </c:pt>
                <c:pt idx="84">
                  <c:v>0</c:v>
                </c:pt>
                <c:pt idx="85">
                  <c:v>0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0</c:v>
                </c:pt>
                <c:pt idx="93">
                  <c:v>0</c:v>
                </c:pt>
                <c:pt idx="94">
                  <c:v>0</c:v>
                </c:pt>
                <c:pt idx="96">
                  <c:v>0</c:v>
                </c:pt>
                <c:pt idx="97">
                  <c:v>0</c:v>
                </c:pt>
                <c:pt idx="99">
                  <c:v>0</c:v>
                </c:pt>
                <c:pt idx="100">
                  <c:v>0</c:v>
                </c:pt>
                <c:pt idx="102">
                  <c:v>0</c:v>
                </c:pt>
                <c:pt idx="103">
                  <c:v>0</c:v>
                </c:pt>
                <c:pt idx="105">
                  <c:v>0</c:v>
                </c:pt>
                <c:pt idx="106">
                  <c:v>0</c:v>
                </c:pt>
                <c:pt idx="108">
                  <c:v>0</c:v>
                </c:pt>
                <c:pt idx="109">
                  <c:v>0</c:v>
                </c:pt>
                <c:pt idx="111">
                  <c:v>0</c:v>
                </c:pt>
                <c:pt idx="112">
                  <c:v>0</c:v>
                </c:pt>
                <c:pt idx="114">
                  <c:v>0</c:v>
                </c:pt>
                <c:pt idx="115">
                  <c:v>0</c:v>
                </c:pt>
                <c:pt idx="117">
                  <c:v>0</c:v>
                </c:pt>
                <c:pt idx="118">
                  <c:v>0</c:v>
                </c:pt>
                <c:pt idx="120">
                  <c:v>0</c:v>
                </c:pt>
                <c:pt idx="121">
                  <c:v>0</c:v>
                </c:pt>
                <c:pt idx="123">
                  <c:v>0</c:v>
                </c:pt>
                <c:pt idx="124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E8-49AA-A863-AA0D313E10E9}"/>
            </c:ext>
          </c:extLst>
        </c:ser>
        <c:ser>
          <c:idx val="6"/>
          <c:order val="2"/>
          <c:tx>
            <c:v>Driver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Panels!$U$59:$U$74</c:f>
              <c:numCache>
                <c:formatCode>0.0</c:formatCode>
                <c:ptCount val="16"/>
                <c:pt idx="0">
                  <c:v>49.837507763994246</c:v>
                </c:pt>
                <c:pt idx="1">
                  <c:v>43.808008572285473</c:v>
                </c:pt>
                <c:pt idx="2">
                  <c:v>23.745214268363274</c:v>
                </c:pt>
                <c:pt idx="3">
                  <c:v>26.252008243034318</c:v>
                </c:pt>
                <c:pt idx="4">
                  <c:v>31.171251077169089</c:v>
                </c:pt>
                <c:pt idx="5">
                  <c:v>49.322955316561767</c:v>
                </c:pt>
                <c:pt idx="7">
                  <c:v>37.7785093805767</c:v>
                </c:pt>
                <c:pt idx="8">
                  <c:v>43.808008572285473</c:v>
                </c:pt>
                <c:pt idx="9">
                  <c:v>23.745214268363274</c:v>
                </c:pt>
                <c:pt idx="10">
                  <c:v>21.238420293692229</c:v>
                </c:pt>
                <c:pt idx="11">
                  <c:v>26.157663127827</c:v>
                </c:pt>
                <c:pt idx="12">
                  <c:v>38.293061828009179</c:v>
                </c:pt>
                <c:pt idx="14">
                  <c:v>26.157663127827</c:v>
                </c:pt>
                <c:pt idx="15">
                  <c:v>31.171251077169089</c:v>
                </c:pt>
              </c:numCache>
            </c:numRef>
          </c:xVal>
          <c:yVal>
            <c:numRef>
              <c:f>Panels!$V$59:$V$74</c:f>
              <c:numCache>
                <c:formatCode>0.0</c:formatCode>
                <c:ptCount val="16"/>
                <c:pt idx="0">
                  <c:v>77.985890338661036</c:v>
                </c:pt>
                <c:pt idx="1">
                  <c:v>55.945753326900345</c:v>
                </c:pt>
                <c:pt idx="2">
                  <c:v>61.434312766180099</c:v>
                </c:pt>
                <c:pt idx="3">
                  <c:v>70.597608241529187</c:v>
                </c:pt>
                <c:pt idx="4">
                  <c:v>69.251855686705781</c:v>
                </c:pt>
                <c:pt idx="5">
                  <c:v>76.105003372668321</c:v>
                </c:pt>
                <c:pt idx="7">
                  <c:v>33.905616315139653</c:v>
                </c:pt>
                <c:pt idx="8">
                  <c:v>55.945753326900345</c:v>
                </c:pt>
                <c:pt idx="9">
                  <c:v>61.434312766180099</c:v>
                </c:pt>
                <c:pt idx="10">
                  <c:v>52.271017290831018</c:v>
                </c:pt>
                <c:pt idx="11">
                  <c:v>50.92526473600762</c:v>
                </c:pt>
                <c:pt idx="12">
                  <c:v>35.786503281132369</c:v>
                </c:pt>
                <c:pt idx="14">
                  <c:v>50.92526473600762</c:v>
                </c:pt>
                <c:pt idx="15">
                  <c:v>69.251855686705781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CE8-49AA-A863-AA0D313E10E9}"/>
            </c:ext>
          </c:extLst>
        </c:ser>
        <c:ser>
          <c:idx val="0"/>
          <c:order val="3"/>
          <c:tx>
            <c:v>Axes</c:v>
          </c:tx>
          <c:spPr>
            <a:ln>
              <a:noFill/>
            </a:ln>
          </c:spPr>
          <c:marker>
            <c:symbol val="none"/>
          </c:marker>
          <c:xVal>
            <c:numRef>
              <c:f>Panels!$S$83:$S$87</c:f>
              <c:numCache>
                <c:formatCode>0.0</c:formatCode>
                <c:ptCount val="5"/>
                <c:pt idx="0">
                  <c:v>-5</c:v>
                </c:pt>
                <c:pt idx="1">
                  <c:v>-5</c:v>
                </c:pt>
                <c:pt idx="3">
                  <c:v>-5</c:v>
                </c:pt>
                <c:pt idx="4">
                  <c:v>101.6</c:v>
                </c:pt>
              </c:numCache>
            </c:numRef>
          </c:xVal>
          <c:yVal>
            <c:numRef>
              <c:f>Panels!$T$83:$T$87</c:f>
              <c:numCache>
                <c:formatCode>0.0</c:formatCode>
                <c:ptCount val="5"/>
                <c:pt idx="0">
                  <c:v>-5</c:v>
                </c:pt>
                <c:pt idx="1">
                  <c:v>101.6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CE8-49AA-A863-AA0D313E10E9}"/>
            </c:ext>
          </c:extLst>
        </c:ser>
        <c:ser>
          <c:idx val="3"/>
          <c:order val="4"/>
          <c:tx>
            <c:v>Guides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Guides!$F$2:$F$28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Guides!$G$2:$G$28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CE8-49AA-A863-AA0D313E10E9}"/>
            </c:ext>
          </c:extLst>
        </c:ser>
        <c:ser>
          <c:idx val="4"/>
          <c:order val="5"/>
          <c:tx>
            <c:v>Cone Compensation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Path!$AD$25:$AD$27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Path!$AE$25:$AE$27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CE8-49AA-A863-AA0D313E10E9}"/>
            </c:ext>
          </c:extLst>
        </c:ser>
        <c:ser>
          <c:idx val="7"/>
          <c:order val="6"/>
          <c:tx>
            <c:v>Braces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Bracing!$F$2:$F$28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Bracing!$G$2:$G$28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CE8-49AA-A863-AA0D313E1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479488"/>
        <c:axId val="204485760"/>
      </c:scatterChart>
      <c:valAx>
        <c:axId val="204479488"/>
        <c:scaling>
          <c:orientation val="minMax"/>
        </c:scaling>
        <c:delete val="0"/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Width</a:t>
                </a:r>
              </a:p>
            </c:rich>
          </c:tx>
          <c:layout>
            <c:manualLayout>
              <c:xMode val="edge"/>
              <c:yMode val="edge"/>
              <c:x val="0.51342287063615377"/>
              <c:y val="0.9353679001216083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one"/>
        <c:spPr>
          <a:ln w="3175">
            <a:solidFill>
              <a:srgbClr val="000000"/>
            </a:solidFill>
            <a:prstDash val="solid"/>
          </a:ln>
        </c:spPr>
        <c:crossAx val="204485760"/>
        <c:crosses val="autoZero"/>
        <c:crossBetween val="midCat"/>
      </c:valAx>
      <c:valAx>
        <c:axId val="204485760"/>
        <c:scaling>
          <c:orientation val="minMax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</a:t>
                </a:r>
              </a:p>
            </c:rich>
          </c:tx>
          <c:layout>
            <c:manualLayout>
              <c:xMode val="edge"/>
              <c:yMode val="edge"/>
              <c:x val="1.789727789043092E-2"/>
              <c:y val="0.4544857474211072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one"/>
        <c:spPr>
          <a:ln w="3175">
            <a:solidFill>
              <a:srgbClr val="000000"/>
            </a:solidFill>
            <a:prstDash val="solid"/>
          </a:ln>
        </c:spPr>
        <c:crossAx val="204479488"/>
        <c:crosses val="autoZero"/>
        <c:crossBetween val="midCat"/>
      </c:valAx>
      <c:spPr>
        <a:noFill/>
        <a:ln w="12700">
          <a:solidFill>
            <a:srgbClr val="00000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35</xdr:row>
      <xdr:rowOff>114300</xdr:rowOff>
    </xdr:from>
    <xdr:to>
      <xdr:col>27</xdr:col>
      <xdr:colOff>19050</xdr:colOff>
      <xdr:row>53</xdr:row>
      <xdr:rowOff>142875</xdr:rowOff>
    </xdr:to>
    <xdr:graphicFrame macro="">
      <xdr:nvGraphicFramePr>
        <xdr:cNvPr id="1095744" name="Chart 5">
          <a:extLst>
            <a:ext uri="{FF2B5EF4-FFF2-40B4-BE49-F238E27FC236}">
              <a16:creationId xmlns:a16="http://schemas.microsoft.com/office/drawing/2014/main" id="{00000000-0008-0000-0000-000040B81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</xdr:colOff>
      <xdr:row>0</xdr:row>
      <xdr:rowOff>104775</xdr:rowOff>
    </xdr:from>
    <xdr:to>
      <xdr:col>27</xdr:col>
      <xdr:colOff>38100</xdr:colOff>
      <xdr:row>33</xdr:row>
      <xdr:rowOff>66675</xdr:rowOff>
    </xdr:to>
    <xdr:graphicFrame macro="">
      <xdr:nvGraphicFramePr>
        <xdr:cNvPr id="1095745" name="Chart 6">
          <a:extLst>
            <a:ext uri="{FF2B5EF4-FFF2-40B4-BE49-F238E27FC236}">
              <a16:creationId xmlns:a16="http://schemas.microsoft.com/office/drawing/2014/main" id="{00000000-0008-0000-0000-000041B81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18</xdr:col>
      <xdr:colOff>209550</xdr:colOff>
      <xdr:row>33</xdr:row>
      <xdr:rowOff>142875</xdr:rowOff>
    </xdr:to>
    <xdr:graphicFrame macro="">
      <xdr:nvGraphicFramePr>
        <xdr:cNvPr id="994361" name="Chart 6">
          <a:extLst>
            <a:ext uri="{FF2B5EF4-FFF2-40B4-BE49-F238E27FC236}">
              <a16:creationId xmlns:a16="http://schemas.microsoft.com/office/drawing/2014/main" id="{00000000-0008-0000-0300-0000392C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19</xdr:col>
      <xdr:colOff>466725</xdr:colOff>
      <xdr:row>67</xdr:row>
      <xdr:rowOff>9525</xdr:rowOff>
    </xdr:to>
    <xdr:graphicFrame macro="">
      <xdr:nvGraphicFramePr>
        <xdr:cNvPr id="1020977" name="Chart 6">
          <a:extLst>
            <a:ext uri="{FF2B5EF4-FFF2-40B4-BE49-F238E27FC236}">
              <a16:creationId xmlns:a16="http://schemas.microsoft.com/office/drawing/2014/main" id="{00000000-0008-0000-0400-00003194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17</xdr:col>
      <xdr:colOff>209550</xdr:colOff>
      <xdr:row>33</xdr:row>
      <xdr:rowOff>142875</xdr:rowOff>
    </xdr:to>
    <xdr:graphicFrame macro="">
      <xdr:nvGraphicFramePr>
        <xdr:cNvPr id="1058856" name="Chart 6">
          <a:extLst>
            <a:ext uri="{FF2B5EF4-FFF2-40B4-BE49-F238E27FC236}">
              <a16:creationId xmlns:a16="http://schemas.microsoft.com/office/drawing/2014/main" id="{00000000-0008-0000-0600-000028281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331"/>
  <sheetViews>
    <sheetView showGridLines="0" tabSelected="1" zoomScaleNormal="100" workbookViewId="0">
      <selection activeCell="D31" sqref="D31"/>
    </sheetView>
  </sheetViews>
  <sheetFormatPr defaultRowHeight="11.25" x14ac:dyDescent="0.2"/>
  <cols>
    <col min="1" max="1" width="2.140625" style="1" bestFit="1" customWidth="1"/>
    <col min="2" max="2" width="16.140625" style="1" customWidth="1"/>
    <col min="3" max="3" width="2.7109375" style="1" bestFit="1" customWidth="1"/>
    <col min="4" max="4" width="6.5703125" style="1" bestFit="1" customWidth="1"/>
    <col min="5" max="5" width="4.85546875" style="1" bestFit="1" customWidth="1"/>
    <col min="6" max="6" width="5" style="1" customWidth="1"/>
    <col min="7" max="7" width="4.5703125" style="1" bestFit="1" customWidth="1"/>
    <col min="8" max="8" width="6.42578125" style="1" bestFit="1" customWidth="1"/>
    <col min="9" max="9" width="4" style="1" bestFit="1" customWidth="1"/>
    <col min="10" max="10" width="9.7109375" style="1" bestFit="1" customWidth="1"/>
    <col min="11" max="11" width="5" style="1" bestFit="1" customWidth="1"/>
    <col min="12" max="12" width="4.85546875" style="1" bestFit="1" customWidth="1"/>
    <col min="13" max="13" width="3.7109375" style="1" bestFit="1" customWidth="1"/>
    <col min="14" max="14" width="6" style="1" customWidth="1"/>
    <col min="15" max="15" width="4" style="1" bestFit="1" customWidth="1"/>
    <col min="16" max="16" width="10.42578125" style="1" bestFit="1" customWidth="1"/>
    <col min="17" max="17" width="3.7109375" style="1" bestFit="1" customWidth="1"/>
    <col min="18" max="18" width="4" style="1" bestFit="1" customWidth="1"/>
    <col min="19" max="19" width="4.85546875" style="1" bestFit="1" customWidth="1"/>
    <col min="20" max="20" width="5.7109375" style="1" bestFit="1" customWidth="1"/>
    <col min="21" max="22" width="4.85546875" style="1" bestFit="1" customWidth="1"/>
    <col min="23" max="23" width="5.7109375" style="1" bestFit="1" customWidth="1"/>
    <col min="24" max="24" width="4.85546875" style="1" bestFit="1" customWidth="1"/>
    <col min="25" max="26" width="9.85546875" style="1" customWidth="1"/>
    <col min="27" max="27" width="2.5703125" style="1" customWidth="1"/>
    <col min="28" max="28" width="3.85546875" style="1" customWidth="1"/>
    <col min="29" max="29" width="2.7109375" style="1" bestFit="1" customWidth="1"/>
    <col min="30" max="30" width="5.28515625" style="1" bestFit="1" customWidth="1"/>
    <col min="31" max="31" width="5.7109375" style="1" bestFit="1" customWidth="1"/>
    <col min="32" max="32" width="7.42578125" style="1" bestFit="1" customWidth="1"/>
    <col min="33" max="33" width="5.28515625" style="1" bestFit="1" customWidth="1"/>
    <col min="34" max="34" width="4" style="1" bestFit="1" customWidth="1"/>
    <col min="35" max="35" width="4.42578125" style="1" bestFit="1" customWidth="1"/>
    <col min="36" max="36" width="5.42578125" style="1" bestFit="1" customWidth="1"/>
    <col min="37" max="37" width="4.5703125" style="1" bestFit="1" customWidth="1"/>
    <col min="38" max="38" width="4.85546875" style="1" bestFit="1" customWidth="1"/>
    <col min="39" max="39" width="3" style="1" bestFit="1" customWidth="1"/>
    <col min="40" max="40" width="4" style="1" bestFit="1" customWidth="1"/>
    <col min="41" max="41" width="4.85546875" style="1" bestFit="1" customWidth="1"/>
    <col min="42" max="43" width="4.42578125" style="1" bestFit="1" customWidth="1"/>
    <col min="44" max="44" width="5" style="1" bestFit="1" customWidth="1"/>
    <col min="45" max="45" width="2" style="1" bestFit="1" customWidth="1"/>
    <col min="46" max="46" width="4.42578125" style="1" bestFit="1" customWidth="1"/>
    <col min="47" max="47" width="5" style="1" bestFit="1" customWidth="1"/>
    <col min="48" max="48" width="3.7109375" style="1" bestFit="1" customWidth="1"/>
    <col min="49" max="16384" width="9.140625" style="1"/>
  </cols>
  <sheetData>
    <row r="1" spans="2:32" x14ac:dyDescent="0.2">
      <c r="B1" s="9" t="s">
        <v>17</v>
      </c>
      <c r="C1" s="9" t="s">
        <v>0</v>
      </c>
      <c r="D1" s="9">
        <v>6.3</v>
      </c>
    </row>
    <row r="3" spans="2:32" ht="12" thickBot="1" x14ac:dyDescent="0.25">
      <c r="B3" s="9" t="s">
        <v>83</v>
      </c>
    </row>
    <row r="4" spans="2:32" ht="12" thickBot="1" x14ac:dyDescent="0.25">
      <c r="B4" s="57" t="s">
        <v>27</v>
      </c>
      <c r="C4" s="58" t="s">
        <v>0</v>
      </c>
      <c r="D4" s="211">
        <v>45.7</v>
      </c>
      <c r="E4" s="1" t="s">
        <v>25</v>
      </c>
      <c r="F4" s="51">
        <f>D4/2.54</f>
        <v>17.99212598425197</v>
      </c>
      <c r="G4" s="1" t="s">
        <v>65</v>
      </c>
      <c r="H4" s="14"/>
      <c r="I4" s="15" t="s">
        <v>30</v>
      </c>
      <c r="J4" s="15"/>
      <c r="K4" s="16"/>
    </row>
    <row r="5" spans="2:32" ht="13.5" thickBot="1" x14ac:dyDescent="0.25">
      <c r="B5" s="57" t="s">
        <v>32</v>
      </c>
      <c r="C5" s="58" t="s">
        <v>0</v>
      </c>
      <c r="D5" s="211">
        <v>41.8</v>
      </c>
      <c r="E5" s="1" t="s">
        <v>25</v>
      </c>
      <c r="F5" s="49">
        <f>D5/2.54</f>
        <v>16.456692913385826</v>
      </c>
      <c r="G5" s="1" t="s">
        <v>65</v>
      </c>
      <c r="H5" s="208" t="s">
        <v>7</v>
      </c>
      <c r="I5" s="217" t="s">
        <v>115</v>
      </c>
      <c r="J5" s="218"/>
      <c r="K5" s="219"/>
    </row>
    <row r="6" spans="2:32" ht="13.5" thickBot="1" x14ac:dyDescent="0.25">
      <c r="B6" s="57" t="s">
        <v>38</v>
      </c>
      <c r="C6" s="58" t="s">
        <v>0</v>
      </c>
      <c r="D6" s="212">
        <v>20.8</v>
      </c>
      <c r="E6" s="1" t="s">
        <v>25</v>
      </c>
      <c r="F6" s="51">
        <f>D6/2.54</f>
        <v>8.1889763779527556</v>
      </c>
      <c r="G6" s="1" t="s">
        <v>65</v>
      </c>
      <c r="H6" s="209" t="s">
        <v>7</v>
      </c>
      <c r="I6" s="214" t="s">
        <v>114</v>
      </c>
      <c r="J6" s="215"/>
      <c r="K6" s="216"/>
    </row>
    <row r="7" spans="2:32" ht="13.5" thickBot="1" x14ac:dyDescent="0.25">
      <c r="B7" s="57" t="s">
        <v>28</v>
      </c>
      <c r="C7" s="58" t="s">
        <v>0</v>
      </c>
      <c r="D7" s="211">
        <v>19</v>
      </c>
      <c r="E7" s="1" t="s">
        <v>25</v>
      </c>
      <c r="F7" s="51">
        <f>D7/2.54</f>
        <v>7.4803149606299213</v>
      </c>
      <c r="G7" s="1" t="s">
        <v>65</v>
      </c>
      <c r="H7" s="209" t="s">
        <v>7</v>
      </c>
      <c r="I7" s="214" t="s">
        <v>116</v>
      </c>
      <c r="J7" s="215"/>
      <c r="K7" s="216"/>
    </row>
    <row r="8" spans="2:32" ht="13.5" thickBot="1" x14ac:dyDescent="0.25">
      <c r="B8" s="59" t="s">
        <v>29</v>
      </c>
      <c r="C8" s="60" t="s">
        <v>0</v>
      </c>
      <c r="D8" s="213">
        <v>5.0999999999999996</v>
      </c>
      <c r="E8" s="1" t="s">
        <v>25</v>
      </c>
      <c r="F8" s="50">
        <f>D8/2.54</f>
        <v>2.0078740157480315</v>
      </c>
      <c r="G8" s="1" t="s">
        <v>65</v>
      </c>
      <c r="H8" s="209" t="s">
        <v>7</v>
      </c>
      <c r="I8" s="214" t="s">
        <v>117</v>
      </c>
      <c r="J8" s="215"/>
      <c r="K8" s="216"/>
    </row>
    <row r="9" spans="2:32" ht="12.75" x14ac:dyDescent="0.2">
      <c r="H9" s="209" t="s">
        <v>7</v>
      </c>
      <c r="I9" s="214" t="s">
        <v>118</v>
      </c>
      <c r="J9" s="215"/>
      <c r="K9" s="216"/>
    </row>
    <row r="10" spans="2:32" ht="13.5" thickBot="1" x14ac:dyDescent="0.25">
      <c r="B10" s="9" t="s">
        <v>82</v>
      </c>
      <c r="H10" s="209" t="s">
        <v>7</v>
      </c>
      <c r="I10" s="214" t="s">
        <v>119</v>
      </c>
      <c r="J10" s="215"/>
      <c r="K10" s="216"/>
    </row>
    <row r="11" spans="2:32" ht="13.5" thickBot="1" x14ac:dyDescent="0.25">
      <c r="B11" s="10" t="s">
        <v>52</v>
      </c>
      <c r="C11" s="11" t="s">
        <v>0</v>
      </c>
      <c r="D11" s="92">
        <v>81.28</v>
      </c>
      <c r="E11" s="1" t="s">
        <v>25</v>
      </c>
      <c r="F11" s="53">
        <f>D11/2.54</f>
        <v>32</v>
      </c>
      <c r="G11" s="1" t="s">
        <v>65</v>
      </c>
      <c r="H11" s="209" t="s">
        <v>7</v>
      </c>
      <c r="I11" s="194" t="s">
        <v>134</v>
      </c>
      <c r="J11" s="191"/>
      <c r="K11" s="186"/>
    </row>
    <row r="12" spans="2:32" ht="13.5" thickBot="1" x14ac:dyDescent="0.25">
      <c r="B12" s="41" t="s">
        <v>54</v>
      </c>
      <c r="C12" s="42" t="s">
        <v>0</v>
      </c>
      <c r="D12" s="93">
        <v>57.150000000000006</v>
      </c>
      <c r="E12" s="1" t="s">
        <v>25</v>
      </c>
      <c r="F12" s="53">
        <f>D12/2.54</f>
        <v>22.500000000000004</v>
      </c>
      <c r="G12" s="1" t="s">
        <v>65</v>
      </c>
      <c r="H12" s="209" t="s">
        <v>7</v>
      </c>
      <c r="I12" s="194" t="s">
        <v>136</v>
      </c>
      <c r="J12" s="191"/>
      <c r="K12" s="186"/>
    </row>
    <row r="13" spans="2:32" ht="13.5" thickBot="1" x14ac:dyDescent="0.25">
      <c r="B13" s="10" t="s">
        <v>53</v>
      </c>
      <c r="C13" s="43" t="s">
        <v>0</v>
      </c>
      <c r="D13" s="92">
        <v>101.6</v>
      </c>
      <c r="E13" s="18" t="s">
        <v>25</v>
      </c>
      <c r="F13" s="52">
        <f>D13/2.54</f>
        <v>40</v>
      </c>
      <c r="G13" s="1" t="s">
        <v>65</v>
      </c>
      <c r="H13" s="209" t="s">
        <v>7</v>
      </c>
      <c r="I13" s="194" t="s">
        <v>137</v>
      </c>
      <c r="J13" s="191"/>
      <c r="K13" s="186"/>
    </row>
    <row r="14" spans="2:32" ht="13.5" thickBot="1" x14ac:dyDescent="0.25">
      <c r="H14" s="210" t="s">
        <v>7</v>
      </c>
      <c r="I14" s="187" t="s">
        <v>138</v>
      </c>
      <c r="J14" s="188"/>
      <c r="K14" s="189"/>
      <c r="AE14" s="3"/>
      <c r="AF14" s="3"/>
    </row>
    <row r="15" spans="2:32" ht="12" thickBot="1" x14ac:dyDescent="0.25">
      <c r="B15" s="10" t="s">
        <v>102</v>
      </c>
      <c r="C15" s="11" t="s">
        <v>0</v>
      </c>
      <c r="D15" s="92">
        <v>1.2</v>
      </c>
      <c r="E15" s="1" t="s">
        <v>25</v>
      </c>
      <c r="F15" s="53">
        <f>D15/2.54</f>
        <v>0.47244094488188976</v>
      </c>
      <c r="G15" s="1" t="s">
        <v>65</v>
      </c>
      <c r="AE15" s="3"/>
      <c r="AF15" s="3"/>
    </row>
    <row r="16" spans="2:32" ht="12" thickBot="1" x14ac:dyDescent="0.25">
      <c r="B16" s="19" t="s">
        <v>103</v>
      </c>
      <c r="C16" s="20" t="s">
        <v>0</v>
      </c>
      <c r="D16" s="192">
        <f>F47/2</f>
        <v>27.25</v>
      </c>
      <c r="E16" s="1" t="s">
        <v>25</v>
      </c>
      <c r="F16" s="53">
        <f>D16/2.54</f>
        <v>10.728346456692913</v>
      </c>
      <c r="G16" s="1" t="s">
        <v>65</v>
      </c>
      <c r="AE16" s="3"/>
      <c r="AF16" s="3"/>
    </row>
    <row r="17" spans="2:31" ht="12" thickBot="1" x14ac:dyDescent="0.25">
      <c r="B17" s="10" t="s">
        <v>101</v>
      </c>
      <c r="C17" s="11" t="s">
        <v>0</v>
      </c>
      <c r="D17" s="92">
        <v>11</v>
      </c>
      <c r="E17" s="1" t="s">
        <v>25</v>
      </c>
      <c r="F17" s="53">
        <f>D17/2.54</f>
        <v>4.3307086614173231</v>
      </c>
      <c r="G17" s="12" t="s">
        <v>65</v>
      </c>
      <c r="H17" s="14"/>
      <c r="I17" s="15" t="s">
        <v>30</v>
      </c>
      <c r="J17" s="15"/>
      <c r="K17" s="16"/>
    </row>
    <row r="18" spans="2:31" ht="13.5" thickBot="1" x14ac:dyDescent="0.25">
      <c r="H18" s="208" t="s">
        <v>7</v>
      </c>
      <c r="I18" s="181" t="s">
        <v>23</v>
      </c>
      <c r="J18" s="182"/>
      <c r="K18" s="183"/>
    </row>
    <row r="19" spans="2:31" ht="13.5" thickBot="1" x14ac:dyDescent="0.25">
      <c r="B19" s="19" t="s">
        <v>84</v>
      </c>
      <c r="C19" s="20" t="s">
        <v>0</v>
      </c>
      <c r="D19" s="94" t="s">
        <v>67</v>
      </c>
      <c r="F19" s="48" t="s">
        <v>80</v>
      </c>
      <c r="H19" s="209" t="s">
        <v>67</v>
      </c>
      <c r="I19" s="184" t="s">
        <v>70</v>
      </c>
      <c r="J19" s="185"/>
      <c r="K19" s="186"/>
    </row>
    <row r="20" spans="2:31" ht="13.5" thickBot="1" x14ac:dyDescent="0.25">
      <c r="H20" s="209" t="s">
        <v>7</v>
      </c>
      <c r="I20" s="184" t="s">
        <v>24</v>
      </c>
      <c r="J20" s="185"/>
      <c r="K20" s="186"/>
    </row>
    <row r="21" spans="2:31" ht="13.5" thickBot="1" x14ac:dyDescent="0.25">
      <c r="B21" s="10" t="s">
        <v>144</v>
      </c>
      <c r="C21" s="11" t="s">
        <v>0</v>
      </c>
      <c r="D21" s="207">
        <v>6000</v>
      </c>
      <c r="E21" s="12" t="s">
        <v>140</v>
      </c>
      <c r="G21" s="12"/>
      <c r="H21" s="209" t="s">
        <v>67</v>
      </c>
      <c r="I21" s="184" t="s">
        <v>111</v>
      </c>
      <c r="J21" s="185"/>
      <c r="K21" s="186"/>
      <c r="AE21" s="3"/>
    </row>
    <row r="22" spans="2:31" ht="13.5" thickBot="1" x14ac:dyDescent="0.25">
      <c r="B22" s="10" t="s">
        <v>143</v>
      </c>
      <c r="C22" s="43" t="s">
        <v>0</v>
      </c>
      <c r="D22" s="207">
        <v>5000</v>
      </c>
      <c r="E22" s="1" t="s">
        <v>140</v>
      </c>
      <c r="H22" s="209" t="s">
        <v>67</v>
      </c>
      <c r="I22" s="184" t="s">
        <v>132</v>
      </c>
      <c r="J22" s="185"/>
      <c r="K22" s="186"/>
    </row>
    <row r="23" spans="2:31" ht="13.5" thickBot="1" x14ac:dyDescent="0.25">
      <c r="B23" s="19" t="s">
        <v>88</v>
      </c>
      <c r="C23" s="20" t="s">
        <v>0</v>
      </c>
      <c r="D23" s="206">
        <f>2*(D22/((Panels!C64-Panels!C68)^2+(Panels!D64-Panels!D68)^2)^0.5)</f>
        <v>240.5771752808225</v>
      </c>
      <c r="E23" s="1" t="s">
        <v>21</v>
      </c>
      <c r="H23" s="210" t="s">
        <v>67</v>
      </c>
      <c r="I23" s="187" t="s">
        <v>69</v>
      </c>
      <c r="J23" s="188"/>
      <c r="K23" s="189"/>
    </row>
    <row r="25" spans="2:31" ht="12" thickBot="1" x14ac:dyDescent="0.25">
      <c r="B25" s="9" t="s">
        <v>81</v>
      </c>
    </row>
    <row r="26" spans="2:31" ht="12" thickBot="1" x14ac:dyDescent="0.25">
      <c r="B26" s="54" t="s">
        <v>15</v>
      </c>
      <c r="C26" s="55" t="s">
        <v>0</v>
      </c>
      <c r="D26" s="190">
        <f>Path!O7</f>
        <v>492.62354931217823</v>
      </c>
      <c r="E26" s="1" t="s">
        <v>21</v>
      </c>
    </row>
    <row r="27" spans="2:31" ht="12" thickBot="1" x14ac:dyDescent="0.25">
      <c r="B27" s="54" t="s">
        <v>46</v>
      </c>
      <c r="C27" s="55" t="s">
        <v>0</v>
      </c>
      <c r="D27" s="56">
        <f>Path!O13</f>
        <v>591.53695067772196</v>
      </c>
      <c r="E27" s="1" t="s">
        <v>21</v>
      </c>
    </row>
    <row r="28" spans="2:31" ht="12" thickBot="1" x14ac:dyDescent="0.25">
      <c r="B28" s="54" t="s">
        <v>60</v>
      </c>
      <c r="C28" s="55" t="s">
        <v>0</v>
      </c>
      <c r="D28" s="56">
        <f>IF(D19="x",Path!O70,Path!O106)</f>
        <v>1360.5058737080005</v>
      </c>
      <c r="E28" s="1" t="s">
        <v>21</v>
      </c>
    </row>
    <row r="29" spans="2:31" ht="12" thickBot="1" x14ac:dyDescent="0.25">
      <c r="B29" s="54" t="s">
        <v>16</v>
      </c>
      <c r="C29" s="55" t="s">
        <v>0</v>
      </c>
      <c r="D29" s="56">
        <f>Path!O124</f>
        <v>2207.5284435735553</v>
      </c>
      <c r="E29" s="1" t="s">
        <v>21</v>
      </c>
    </row>
    <row r="30" spans="2:31" ht="12" thickBot="1" x14ac:dyDescent="0.25">
      <c r="B30" s="54" t="s">
        <v>61</v>
      </c>
      <c r="C30" s="55" t="s">
        <v>0</v>
      </c>
      <c r="D30" s="91">
        <v>2567</v>
      </c>
      <c r="E30" s="1" t="s">
        <v>21</v>
      </c>
    </row>
    <row r="31" spans="2:31" ht="12" thickBot="1" x14ac:dyDescent="0.25">
      <c r="B31" s="54" t="s">
        <v>26</v>
      </c>
      <c r="C31" s="55" t="s">
        <v>0</v>
      </c>
      <c r="D31" s="56">
        <f>Guides!C46</f>
        <v>26.825126465333199</v>
      </c>
      <c r="E31" s="1" t="s">
        <v>25</v>
      </c>
    </row>
    <row r="32" spans="2:31" ht="12" thickBot="1" x14ac:dyDescent="0.25">
      <c r="B32" s="54" t="s">
        <v>64</v>
      </c>
      <c r="C32" s="55" t="s">
        <v>0</v>
      </c>
      <c r="D32" s="56">
        <f>IF(D19="x",Path!N70-Design!D16,Path!N106-Design!D31)</f>
        <v>209.97223659371173</v>
      </c>
      <c r="E32" s="1" t="s">
        <v>25</v>
      </c>
    </row>
    <row r="33" spans="2:11" ht="12" thickBot="1" x14ac:dyDescent="0.25">
      <c r="B33" s="54" t="s">
        <v>63</v>
      </c>
      <c r="C33" s="55" t="s">
        <v>0</v>
      </c>
      <c r="D33" s="56">
        <f>Path!N124-D32-D31</f>
        <v>56.801161794085772</v>
      </c>
      <c r="E33" s="1" t="s">
        <v>25</v>
      </c>
    </row>
    <row r="34" spans="2:11" ht="12" thickBot="1" x14ac:dyDescent="0.25">
      <c r="B34" s="54" t="s">
        <v>62</v>
      </c>
      <c r="C34" s="55" t="s">
        <v>0</v>
      </c>
      <c r="D34" s="56">
        <f>D37-D33-D32-D31</f>
        <v>23.046680959762341</v>
      </c>
      <c r="E34" s="1" t="s">
        <v>25</v>
      </c>
    </row>
    <row r="35" spans="2:11" ht="12" thickBot="1" x14ac:dyDescent="0.25">
      <c r="B35" s="54" t="s">
        <v>141</v>
      </c>
      <c r="C35" s="55" t="s">
        <v>0</v>
      </c>
      <c r="D35" s="56">
        <f>D21-D22</f>
        <v>1000</v>
      </c>
      <c r="E35" s="12" t="s">
        <v>140</v>
      </c>
    </row>
    <row r="36" spans="2:11" ht="12" thickBot="1" x14ac:dyDescent="0.25">
      <c r="B36" s="54" t="s">
        <v>142</v>
      </c>
      <c r="C36" s="55" t="s">
        <v>0</v>
      </c>
      <c r="D36" s="56">
        <f>PI()*(D5/2)^2</f>
        <v>1372.2790870145573</v>
      </c>
      <c r="E36" s="12" t="s">
        <v>21</v>
      </c>
    </row>
    <row r="37" spans="2:11" ht="12" thickBot="1" x14ac:dyDescent="0.25">
      <c r="B37" s="54" t="s">
        <v>51</v>
      </c>
      <c r="C37" s="55" t="s">
        <v>0</v>
      </c>
      <c r="D37" s="56">
        <f>Path!N130</f>
        <v>316.64520581289304</v>
      </c>
      <c r="E37" s="1" t="s">
        <v>25</v>
      </c>
    </row>
    <row r="39" spans="2:11" ht="12" thickBot="1" x14ac:dyDescent="0.25">
      <c r="B39" s="9" t="s">
        <v>85</v>
      </c>
    </row>
    <row r="40" spans="2:11" x14ac:dyDescent="0.2">
      <c r="B40" s="61" t="s">
        <v>19</v>
      </c>
      <c r="C40" s="62" t="s">
        <v>0</v>
      </c>
      <c r="D40" s="63">
        <f>D41-I58</f>
        <v>389.06032320000014</v>
      </c>
      <c r="E40" s="64" t="s">
        <v>18</v>
      </c>
      <c r="F40" s="65">
        <f>(D40*1000/2.54^3)/1728</f>
        <v>13.739535648362642</v>
      </c>
      <c r="G40" s="66" t="s">
        <v>2</v>
      </c>
      <c r="H40" s="66"/>
      <c r="I40" s="66"/>
      <c r="J40" s="66"/>
      <c r="K40" s="67"/>
    </row>
    <row r="41" spans="2:11" x14ac:dyDescent="0.2">
      <c r="B41" s="68" t="s">
        <v>20</v>
      </c>
      <c r="C41" s="69" t="s">
        <v>0</v>
      </c>
      <c r="D41" s="70">
        <f>(D11*D12*D13)/10^3</f>
        <v>471.94744320000012</v>
      </c>
      <c r="E41" s="71" t="s">
        <v>18</v>
      </c>
      <c r="F41" s="72">
        <f>(D41*1000/2.54^3)/1728</f>
        <v>16.666666666666671</v>
      </c>
      <c r="G41" s="73" t="s">
        <v>2</v>
      </c>
      <c r="H41" s="73"/>
      <c r="I41" s="73"/>
      <c r="J41" s="73"/>
      <c r="K41" s="74"/>
    </row>
    <row r="42" spans="2:11" x14ac:dyDescent="0.2">
      <c r="B42" s="68" t="s">
        <v>108</v>
      </c>
      <c r="C42" s="69" t="s">
        <v>0</v>
      </c>
      <c r="D42" s="90">
        <v>9.5</v>
      </c>
      <c r="E42" s="73"/>
      <c r="F42" s="73"/>
      <c r="G42" s="73"/>
      <c r="H42" s="73"/>
      <c r="I42" s="73"/>
      <c r="J42" s="73"/>
      <c r="K42" s="74"/>
    </row>
    <row r="43" spans="2:11" x14ac:dyDescent="0.2">
      <c r="B43" s="68" t="s">
        <v>57</v>
      </c>
      <c r="C43" s="69" t="s">
        <v>0</v>
      </c>
      <c r="D43" s="90">
        <v>4</v>
      </c>
      <c r="E43" s="73"/>
      <c r="F43" s="73"/>
      <c r="G43" s="73"/>
      <c r="H43" s="73"/>
      <c r="I43" s="73"/>
      <c r="J43" s="73"/>
      <c r="K43" s="74"/>
    </row>
    <row r="44" spans="2:11" x14ac:dyDescent="0.2">
      <c r="B44" s="68" t="s">
        <v>58</v>
      </c>
      <c r="C44" s="69" t="s">
        <v>0</v>
      </c>
      <c r="D44" s="90">
        <v>15.3</v>
      </c>
      <c r="E44" s="73"/>
      <c r="F44" s="73"/>
      <c r="G44" s="73"/>
      <c r="H44" s="73"/>
      <c r="I44" s="73"/>
      <c r="J44" s="73"/>
      <c r="K44" s="74"/>
    </row>
    <row r="45" spans="2:11" x14ac:dyDescent="0.2">
      <c r="B45" s="68" t="s">
        <v>12</v>
      </c>
      <c r="C45" s="69"/>
      <c r="D45" s="75" t="s">
        <v>11</v>
      </c>
      <c r="E45" s="75" t="s">
        <v>7</v>
      </c>
      <c r="F45" s="75" t="s">
        <v>8</v>
      </c>
      <c r="G45" s="75"/>
      <c r="H45" s="75" t="s">
        <v>13</v>
      </c>
      <c r="I45" s="75" t="s">
        <v>39</v>
      </c>
      <c r="J45" s="69"/>
      <c r="K45" s="76"/>
    </row>
    <row r="46" spans="2:11" x14ac:dyDescent="0.2">
      <c r="B46" s="68" t="str">
        <f t="shared" ref="B46:B51" si="0">I5</f>
        <v>Panel A, top &amp; bottom</v>
      </c>
      <c r="C46" s="71"/>
      <c r="D46" s="88">
        <v>1.8</v>
      </c>
      <c r="E46" s="77">
        <f>ROUND(D12-2*D48,1)</f>
        <v>53.6</v>
      </c>
      <c r="F46" s="77">
        <f>ROUND(Panels!K7,1)</f>
        <v>81.3</v>
      </c>
      <c r="G46" s="78"/>
      <c r="H46" s="78">
        <v>2</v>
      </c>
      <c r="I46" s="79">
        <f t="shared" ref="I46:I56" si="1">F46*E46*D46*H46/10^3</f>
        <v>15.687648000000001</v>
      </c>
      <c r="J46" s="71"/>
      <c r="K46" s="74"/>
    </row>
    <row r="47" spans="2:11" x14ac:dyDescent="0.2">
      <c r="B47" s="68" t="str">
        <f t="shared" si="0"/>
        <v>Panel B, driver baffle</v>
      </c>
      <c r="C47" s="71"/>
      <c r="D47" s="88">
        <v>3.6</v>
      </c>
      <c r="E47" s="77">
        <f>E46</f>
        <v>53.6</v>
      </c>
      <c r="F47" s="89">
        <v>54.5</v>
      </c>
      <c r="G47" s="78"/>
      <c r="H47" s="78">
        <v>1</v>
      </c>
      <c r="I47" s="79">
        <f t="shared" si="1"/>
        <v>10.516320000000002</v>
      </c>
      <c r="J47" s="71"/>
      <c r="K47" s="80"/>
    </row>
    <row r="48" spans="2:11" x14ac:dyDescent="0.2">
      <c r="B48" s="68" t="str">
        <f t="shared" si="0"/>
        <v>Panel C, sides</v>
      </c>
      <c r="C48" s="71"/>
      <c r="D48" s="88">
        <v>1.8</v>
      </c>
      <c r="E48" s="77">
        <f>ROUND(Panels!K25,1)</f>
        <v>101.6</v>
      </c>
      <c r="F48" s="77">
        <f>ROUND(Panels!K26,1)</f>
        <v>81.3</v>
      </c>
      <c r="G48" s="78"/>
      <c r="H48" s="78">
        <v>2</v>
      </c>
      <c r="I48" s="79">
        <f t="shared" si="1"/>
        <v>29.736288000000002</v>
      </c>
      <c r="J48" s="71"/>
      <c r="K48" s="80"/>
    </row>
    <row r="49" spans="2:11" x14ac:dyDescent="0.2">
      <c r="B49" s="68" t="str">
        <f t="shared" si="0"/>
        <v>Panel D, back</v>
      </c>
      <c r="C49" s="71"/>
      <c r="D49" s="88">
        <v>1.8</v>
      </c>
      <c r="E49" s="77">
        <f>E47</f>
        <v>53.6</v>
      </c>
      <c r="F49" s="77">
        <f>ROUND(Panels!K31,1)</f>
        <v>98</v>
      </c>
      <c r="G49" s="78"/>
      <c r="H49" s="78">
        <v>1</v>
      </c>
      <c r="I49" s="79">
        <f t="shared" si="1"/>
        <v>9.4550400000000003</v>
      </c>
      <c r="J49" s="71"/>
      <c r="K49" s="80"/>
    </row>
    <row r="50" spans="2:11" x14ac:dyDescent="0.2">
      <c r="B50" s="68" t="str">
        <f t="shared" si="0"/>
        <v>Panel E, front</v>
      </c>
      <c r="C50" s="71"/>
      <c r="D50" s="88">
        <v>1.8</v>
      </c>
      <c r="E50" s="77">
        <f>E47</f>
        <v>53.6</v>
      </c>
      <c r="F50" s="77">
        <f>ROUND(Panels!K37,1)</f>
        <v>46.6</v>
      </c>
      <c r="G50" s="78"/>
      <c r="H50" s="78">
        <v>1</v>
      </c>
      <c r="I50" s="79">
        <f t="shared" si="1"/>
        <v>4.4959680000000004</v>
      </c>
      <c r="J50" s="71"/>
      <c r="K50" s="80"/>
    </row>
    <row r="51" spans="2:11" x14ac:dyDescent="0.2">
      <c r="B51" s="68" t="str">
        <f t="shared" si="0"/>
        <v>Panel F, 1st inside</v>
      </c>
      <c r="C51" s="71"/>
      <c r="D51" s="88">
        <v>1.8</v>
      </c>
      <c r="E51" s="77">
        <f>E47</f>
        <v>53.6</v>
      </c>
      <c r="F51" s="89">
        <v>43.5</v>
      </c>
      <c r="G51" s="78"/>
      <c r="H51" s="78">
        <v>1</v>
      </c>
      <c r="I51" s="79">
        <f t="shared" si="1"/>
        <v>4.1968800000000002</v>
      </c>
      <c r="J51" s="71"/>
      <c r="K51" s="80"/>
    </row>
    <row r="52" spans="2:11" x14ac:dyDescent="0.2">
      <c r="B52" s="68" t="s">
        <v>135</v>
      </c>
      <c r="C52" s="71"/>
      <c r="D52" s="71"/>
      <c r="E52" s="71"/>
      <c r="F52" s="89">
        <v>40.799999999999997</v>
      </c>
      <c r="G52" s="78"/>
      <c r="H52" s="71"/>
      <c r="I52" s="71"/>
      <c r="J52" s="71"/>
      <c r="K52" s="80"/>
    </row>
    <row r="53" spans="2:11" x14ac:dyDescent="0.2">
      <c r="B53" s="68" t="str">
        <f>I11</f>
        <v>Panel G1, 2nd inside</v>
      </c>
      <c r="C53" s="71"/>
      <c r="D53" s="88">
        <v>1.8</v>
      </c>
      <c r="E53" s="77">
        <f>E46</f>
        <v>53.6</v>
      </c>
      <c r="F53" s="205">
        <f>ROUND(Panels!K61,1)</f>
        <v>25.5</v>
      </c>
      <c r="G53" s="78"/>
      <c r="H53" s="78">
        <v>1</v>
      </c>
      <c r="I53" s="79">
        <f t="shared" si="1"/>
        <v>2.4602399999999998</v>
      </c>
      <c r="J53" s="71"/>
      <c r="K53" s="80"/>
    </row>
    <row r="54" spans="2:11" x14ac:dyDescent="0.2">
      <c r="B54" s="68" t="str">
        <f>I12</f>
        <v>Panel G2, 3rd inside</v>
      </c>
      <c r="C54" s="71"/>
      <c r="D54" s="88">
        <v>1.8</v>
      </c>
      <c r="E54" s="77">
        <f>E46</f>
        <v>53.6</v>
      </c>
      <c r="F54" s="205">
        <f>ROUND(Panels!K67,1)</f>
        <v>16.2</v>
      </c>
      <c r="G54" s="78"/>
      <c r="H54" s="78">
        <v>1</v>
      </c>
      <c r="I54" s="79">
        <f t="shared" si="1"/>
        <v>1.5629759999999999</v>
      </c>
      <c r="J54" s="71"/>
      <c r="K54" s="80"/>
    </row>
    <row r="55" spans="2:11" x14ac:dyDescent="0.2">
      <c r="B55" s="68" t="str">
        <f>I13</f>
        <v>Panel H, 4th inside</v>
      </c>
      <c r="C55" s="71"/>
      <c r="D55" s="88">
        <v>1.8</v>
      </c>
      <c r="E55" s="77">
        <f>E46</f>
        <v>53.6</v>
      </c>
      <c r="F55" s="89">
        <v>21</v>
      </c>
      <c r="G55" s="78"/>
      <c r="H55" s="78">
        <v>1</v>
      </c>
      <c r="I55" s="79">
        <f t="shared" si="1"/>
        <v>2.0260800000000003</v>
      </c>
      <c r="J55" s="71"/>
      <c r="K55" s="80"/>
    </row>
    <row r="56" spans="2:11" x14ac:dyDescent="0.2">
      <c r="B56" s="68" t="str">
        <f>I14</f>
        <v>Panel I, 5th inside</v>
      </c>
      <c r="C56" s="71"/>
      <c r="D56" s="88">
        <v>1.8</v>
      </c>
      <c r="E56" s="77">
        <f>E46</f>
        <v>53.6</v>
      </c>
      <c r="F56" s="89">
        <v>28.5</v>
      </c>
      <c r="G56" s="89">
        <v>43.6</v>
      </c>
      <c r="H56" s="78">
        <v>1</v>
      </c>
      <c r="I56" s="79">
        <f t="shared" si="1"/>
        <v>2.7496800000000001</v>
      </c>
      <c r="J56" s="71"/>
      <c r="K56" s="80"/>
    </row>
    <row r="57" spans="2:11" x14ac:dyDescent="0.2">
      <c r="B57" s="81"/>
      <c r="C57" s="73"/>
      <c r="D57" s="73"/>
      <c r="E57" s="73"/>
      <c r="F57" s="73"/>
      <c r="G57" s="73"/>
      <c r="H57" s="73"/>
      <c r="I57" s="73"/>
      <c r="J57" s="73"/>
      <c r="K57" s="74"/>
    </row>
    <row r="58" spans="2:11" ht="12" thickBot="1" x14ac:dyDescent="0.25">
      <c r="B58" s="82"/>
      <c r="C58" s="83"/>
      <c r="D58" s="84"/>
      <c r="E58" s="85"/>
      <c r="F58" s="83"/>
      <c r="G58" s="83"/>
      <c r="H58" s="85" t="s">
        <v>50</v>
      </c>
      <c r="I58" s="86">
        <f>SUM(I46:I56)</f>
        <v>82.887119999999996</v>
      </c>
      <c r="J58" s="85" t="s">
        <v>22</v>
      </c>
      <c r="K58" s="87"/>
    </row>
    <row r="59" spans="2:11" x14ac:dyDescent="0.2">
      <c r="D59" s="3"/>
    </row>
    <row r="70" spans="11:11" x14ac:dyDescent="0.2">
      <c r="K70" s="3"/>
    </row>
    <row r="76" spans="11:11" x14ac:dyDescent="0.2">
      <c r="K76" s="3"/>
    </row>
    <row r="84" spans="11:11" x14ac:dyDescent="0.2">
      <c r="K84" s="3"/>
    </row>
    <row r="101" spans="4:10" x14ac:dyDescent="0.2">
      <c r="J101" s="3"/>
    </row>
    <row r="104" spans="4:10" x14ac:dyDescent="0.2">
      <c r="J104" s="2"/>
    </row>
    <row r="106" spans="4:10" x14ac:dyDescent="0.2">
      <c r="D106" s="3"/>
      <c r="F106" s="2"/>
    </row>
    <row r="107" spans="4:10" x14ac:dyDescent="0.2">
      <c r="F107" s="2"/>
    </row>
    <row r="112" spans="4:10" x14ac:dyDescent="0.2">
      <c r="I112" s="6"/>
      <c r="J112" s="6"/>
    </row>
    <row r="113" spans="9:26" x14ac:dyDescent="0.2">
      <c r="I113" s="6"/>
      <c r="J113" s="6"/>
    </row>
    <row r="114" spans="9:26" x14ac:dyDescent="0.2">
      <c r="I114" s="6"/>
      <c r="J114" s="6"/>
    </row>
    <row r="115" spans="9:26" x14ac:dyDescent="0.2">
      <c r="I115" s="6"/>
      <c r="J115" s="6"/>
    </row>
    <row r="116" spans="9:26" x14ac:dyDescent="0.2">
      <c r="I116" s="6"/>
      <c r="J116" s="6"/>
      <c r="Z116" s="3"/>
    </row>
    <row r="117" spans="9:26" x14ac:dyDescent="0.2">
      <c r="I117" s="6"/>
      <c r="J117" s="6"/>
      <c r="Y117" s="3"/>
    </row>
    <row r="118" spans="9:26" x14ac:dyDescent="0.2">
      <c r="I118" s="6"/>
      <c r="J118" s="6"/>
    </row>
    <row r="119" spans="9:26" x14ac:dyDescent="0.2">
      <c r="I119" s="6"/>
      <c r="J119" s="6"/>
    </row>
    <row r="120" spans="9:26" x14ac:dyDescent="0.2">
      <c r="I120" s="6"/>
      <c r="J120" s="6"/>
    </row>
    <row r="121" spans="9:26" x14ac:dyDescent="0.2">
      <c r="I121" s="6"/>
      <c r="J121" s="6"/>
    </row>
    <row r="227" spans="30:40" x14ac:dyDescent="0.2">
      <c r="AD227" s="3"/>
      <c r="AE227" s="3"/>
      <c r="AF227" s="3"/>
      <c r="AG227" s="3"/>
      <c r="AH227" s="3"/>
      <c r="AJ227" s="3"/>
      <c r="AK227" s="3"/>
      <c r="AM227" s="3"/>
      <c r="AN227" s="3"/>
    </row>
    <row r="228" spans="30:40" x14ac:dyDescent="0.2">
      <c r="AD228" s="3"/>
      <c r="AE228" s="3"/>
      <c r="AF228" s="3"/>
      <c r="AG228" s="3"/>
      <c r="AH228" s="3"/>
      <c r="AJ228" s="3"/>
      <c r="AK228" s="3"/>
      <c r="AM228" s="3"/>
      <c r="AN228" s="3"/>
    </row>
    <row r="229" spans="30:40" x14ac:dyDescent="0.2">
      <c r="AD229" s="3"/>
      <c r="AE229" s="3"/>
      <c r="AF229" s="3"/>
      <c r="AG229" s="3"/>
      <c r="AH229" s="3"/>
      <c r="AJ229" s="3"/>
      <c r="AK229" s="3"/>
    </row>
    <row r="230" spans="30:40" x14ac:dyDescent="0.2">
      <c r="AD230" s="3"/>
      <c r="AE230" s="3"/>
      <c r="AM230" s="3"/>
      <c r="AN230" s="3"/>
    </row>
    <row r="231" spans="30:40" x14ac:dyDescent="0.2">
      <c r="AD231" s="3"/>
      <c r="AE231" s="3"/>
      <c r="AM231" s="3"/>
      <c r="AN231" s="3"/>
    </row>
    <row r="232" spans="30:40" x14ac:dyDescent="0.2">
      <c r="AD232" s="3"/>
      <c r="AE232" s="3"/>
    </row>
    <row r="233" spans="30:40" x14ac:dyDescent="0.2">
      <c r="AD233" s="3"/>
      <c r="AE233" s="3"/>
      <c r="AM233" s="3"/>
      <c r="AN233" s="3"/>
    </row>
    <row r="234" spans="30:40" x14ac:dyDescent="0.2">
      <c r="AD234" s="3"/>
      <c r="AE234" s="3"/>
      <c r="AM234" s="3"/>
      <c r="AN234" s="3"/>
    </row>
    <row r="236" spans="30:40" x14ac:dyDescent="0.2">
      <c r="AD236" s="3"/>
      <c r="AE236" s="3"/>
      <c r="AF236" s="4"/>
      <c r="AG236" s="4"/>
      <c r="AH236" s="4"/>
      <c r="AM236" s="3"/>
      <c r="AN236" s="3"/>
    </row>
    <row r="237" spans="30:40" x14ac:dyDescent="0.2">
      <c r="AD237" s="3"/>
      <c r="AE237" s="3"/>
      <c r="AF237" s="6"/>
      <c r="AG237" s="6"/>
      <c r="AH237" s="6"/>
      <c r="AM237" s="3"/>
      <c r="AN237" s="3"/>
    </row>
    <row r="238" spans="30:40" x14ac:dyDescent="0.2">
      <c r="AD238" s="3"/>
      <c r="AE238" s="3"/>
      <c r="AF238" s="6"/>
      <c r="AG238" s="6"/>
      <c r="AH238" s="6"/>
    </row>
    <row r="239" spans="30:40" x14ac:dyDescent="0.2">
      <c r="AD239" s="3"/>
      <c r="AE239" s="3"/>
      <c r="AF239" s="6"/>
      <c r="AG239" s="6"/>
      <c r="AH239" s="6"/>
      <c r="AM239" s="3"/>
      <c r="AN239" s="3"/>
    </row>
    <row r="240" spans="30:40" x14ac:dyDescent="0.2">
      <c r="AD240" s="3"/>
      <c r="AE240" s="3"/>
      <c r="AF240" s="6"/>
      <c r="AG240" s="6"/>
      <c r="AH240" s="6"/>
      <c r="AM240" s="3"/>
      <c r="AN240" s="3"/>
    </row>
    <row r="242" spans="30:40" x14ac:dyDescent="0.2">
      <c r="AD242" s="3"/>
      <c r="AE242" s="3"/>
      <c r="AF242" s="4"/>
      <c r="AG242" s="4"/>
      <c r="AH242" s="4"/>
      <c r="AM242" s="3"/>
      <c r="AN242" s="3"/>
    </row>
    <row r="243" spans="30:40" x14ac:dyDescent="0.2">
      <c r="AD243" s="3"/>
      <c r="AE243" s="3"/>
      <c r="AF243" s="6"/>
      <c r="AG243" s="6"/>
      <c r="AH243" s="6"/>
      <c r="AM243" s="3"/>
      <c r="AN243" s="3"/>
    </row>
    <row r="244" spans="30:40" x14ac:dyDescent="0.2">
      <c r="AD244" s="3"/>
      <c r="AE244" s="3"/>
      <c r="AF244" s="6"/>
      <c r="AG244" s="6"/>
      <c r="AH244" s="6"/>
    </row>
    <row r="245" spans="30:40" x14ac:dyDescent="0.2">
      <c r="AD245" s="3"/>
      <c r="AE245" s="3"/>
      <c r="AF245" s="6"/>
      <c r="AG245" s="6"/>
      <c r="AH245" s="6"/>
      <c r="AM245" s="3"/>
      <c r="AN245" s="3"/>
    </row>
    <row r="246" spans="30:40" x14ac:dyDescent="0.2">
      <c r="AD246" s="3"/>
      <c r="AE246" s="3"/>
      <c r="AF246" s="6"/>
      <c r="AG246" s="6"/>
      <c r="AH246" s="6"/>
      <c r="AM246" s="3"/>
      <c r="AN246" s="3"/>
    </row>
    <row r="248" spans="30:40" x14ac:dyDescent="0.2">
      <c r="AD248" s="3"/>
      <c r="AE248" s="3"/>
      <c r="AF248" s="4"/>
      <c r="AG248" s="4"/>
      <c r="AH248" s="4"/>
      <c r="AM248" s="3"/>
      <c r="AN248" s="3"/>
    </row>
    <row r="249" spans="30:40" x14ac:dyDescent="0.2">
      <c r="AD249" s="3"/>
      <c r="AE249" s="3"/>
      <c r="AF249" s="6"/>
      <c r="AG249" s="6"/>
      <c r="AH249" s="6"/>
      <c r="AM249" s="3"/>
      <c r="AN249" s="3"/>
    </row>
    <row r="250" spans="30:40" x14ac:dyDescent="0.2">
      <c r="AD250" s="3"/>
      <c r="AE250" s="3"/>
      <c r="AF250" s="6"/>
      <c r="AG250" s="6"/>
      <c r="AH250" s="6"/>
    </row>
    <row r="251" spans="30:40" x14ac:dyDescent="0.2">
      <c r="AD251" s="3"/>
      <c r="AE251" s="3"/>
      <c r="AF251" s="6"/>
      <c r="AG251" s="6"/>
      <c r="AH251" s="6"/>
      <c r="AM251" s="3"/>
      <c r="AN251" s="3"/>
    </row>
    <row r="252" spans="30:40" x14ac:dyDescent="0.2">
      <c r="AD252" s="3"/>
      <c r="AE252" s="3"/>
      <c r="AF252" s="6"/>
      <c r="AG252" s="6"/>
      <c r="AH252" s="6"/>
      <c r="AM252" s="3"/>
      <c r="AN252" s="3"/>
    </row>
    <row r="254" spans="30:40" x14ac:dyDescent="0.2">
      <c r="AD254" s="3"/>
      <c r="AE254" s="3"/>
      <c r="AF254" s="4"/>
      <c r="AG254" s="4"/>
      <c r="AH254" s="4"/>
      <c r="AM254" s="3"/>
      <c r="AN254" s="3"/>
    </row>
    <row r="255" spans="30:40" x14ac:dyDescent="0.2">
      <c r="AD255" s="3"/>
      <c r="AE255" s="3"/>
      <c r="AF255" s="6"/>
      <c r="AG255" s="6"/>
      <c r="AH255" s="6"/>
    </row>
    <row r="256" spans="30:40" x14ac:dyDescent="0.2">
      <c r="AD256" s="3"/>
      <c r="AE256" s="3"/>
      <c r="AF256" s="6"/>
      <c r="AG256" s="6"/>
      <c r="AH256" s="6"/>
      <c r="AM256" s="3"/>
      <c r="AN256" s="3"/>
    </row>
    <row r="257" spans="30:44" x14ac:dyDescent="0.2">
      <c r="AD257" s="3"/>
      <c r="AE257" s="3"/>
      <c r="AF257" s="6"/>
      <c r="AG257" s="6"/>
      <c r="AH257" s="6"/>
      <c r="AM257" s="3"/>
      <c r="AN257" s="3"/>
    </row>
    <row r="259" spans="30:44" x14ac:dyDescent="0.2">
      <c r="AD259" s="3"/>
      <c r="AE259" s="3"/>
      <c r="AF259" s="4"/>
      <c r="AG259" s="4"/>
      <c r="AH259" s="4"/>
      <c r="AM259" s="3"/>
      <c r="AN259" s="3"/>
    </row>
    <row r="260" spans="30:44" x14ac:dyDescent="0.2">
      <c r="AD260" s="3"/>
      <c r="AE260" s="3"/>
      <c r="AF260" s="6"/>
      <c r="AG260" s="6"/>
      <c r="AH260" s="6"/>
      <c r="AM260" s="3"/>
      <c r="AN260" s="3"/>
    </row>
    <row r="261" spans="30:44" x14ac:dyDescent="0.2">
      <c r="AD261" s="3"/>
      <c r="AE261" s="3"/>
      <c r="AF261" s="6"/>
      <c r="AG261" s="6"/>
      <c r="AH261" s="6"/>
    </row>
    <row r="262" spans="30:44" x14ac:dyDescent="0.2">
      <c r="AD262" s="3"/>
      <c r="AE262" s="3"/>
      <c r="AF262" s="6"/>
      <c r="AG262" s="6"/>
      <c r="AH262" s="6"/>
      <c r="AM262" s="3"/>
      <c r="AN262" s="3"/>
    </row>
    <row r="263" spans="30:44" x14ac:dyDescent="0.2">
      <c r="AD263" s="3"/>
      <c r="AE263" s="3"/>
      <c r="AF263" s="6"/>
      <c r="AG263" s="6"/>
      <c r="AH263" s="6"/>
      <c r="AM263" s="3"/>
      <c r="AN263" s="3"/>
    </row>
    <row r="265" spans="30:44" x14ac:dyDescent="0.2">
      <c r="AD265" s="3"/>
      <c r="AE265" s="3"/>
      <c r="AF265" s="4"/>
      <c r="AG265" s="4"/>
      <c r="AH265" s="4"/>
      <c r="AM265" s="3"/>
      <c r="AN265" s="3"/>
    </row>
    <row r="266" spans="30:44" x14ac:dyDescent="0.2">
      <c r="AD266" s="3"/>
      <c r="AE266" s="3"/>
      <c r="AF266" s="4"/>
      <c r="AG266" s="4"/>
      <c r="AH266" s="4"/>
      <c r="AM266" s="7"/>
      <c r="AN266" s="7"/>
      <c r="AO266" s="7"/>
      <c r="AP266" s="7"/>
      <c r="AQ266" s="7"/>
    </row>
    <row r="267" spans="30:44" x14ac:dyDescent="0.2">
      <c r="AD267" s="3"/>
      <c r="AE267" s="3"/>
      <c r="AF267" s="6"/>
      <c r="AG267" s="6"/>
      <c r="AH267" s="6"/>
      <c r="AM267" s="3"/>
      <c r="AN267" s="3"/>
      <c r="AO267" s="7"/>
      <c r="AP267" s="7"/>
      <c r="AQ267" s="7"/>
      <c r="AR267" s="6"/>
    </row>
    <row r="268" spans="30:44" x14ac:dyDescent="0.2">
      <c r="AD268" s="3"/>
      <c r="AE268" s="3"/>
      <c r="AF268" s="6"/>
      <c r="AG268" s="6"/>
      <c r="AH268" s="6"/>
      <c r="AM268" s="7"/>
      <c r="AN268" s="7"/>
      <c r="AO268" s="7"/>
      <c r="AP268" s="7"/>
      <c r="AQ268" s="7"/>
      <c r="AR268" s="6"/>
    </row>
    <row r="269" spans="30:44" x14ac:dyDescent="0.2">
      <c r="AD269" s="3"/>
      <c r="AE269" s="3"/>
      <c r="AF269" s="6"/>
      <c r="AG269" s="6"/>
      <c r="AH269" s="6"/>
      <c r="AM269" s="7"/>
      <c r="AN269" s="7"/>
      <c r="AO269" s="7"/>
      <c r="AP269" s="7"/>
      <c r="AQ269" s="7"/>
      <c r="AR269" s="6"/>
    </row>
    <row r="270" spans="30:44" x14ac:dyDescent="0.2">
      <c r="AD270" s="3"/>
      <c r="AE270" s="3"/>
      <c r="AF270" s="6"/>
      <c r="AG270" s="6"/>
      <c r="AH270" s="6"/>
      <c r="AM270" s="7"/>
      <c r="AN270" s="7"/>
      <c r="AO270" s="7"/>
      <c r="AP270" s="7"/>
      <c r="AQ270" s="7"/>
      <c r="AR270" s="6"/>
    </row>
    <row r="271" spans="30:44" x14ac:dyDescent="0.2">
      <c r="AM271" s="3"/>
      <c r="AN271" s="3"/>
      <c r="AO271" s="7"/>
      <c r="AP271" s="7"/>
      <c r="AQ271" s="7"/>
      <c r="AR271" s="6"/>
    </row>
    <row r="272" spans="30:44" x14ac:dyDescent="0.2">
      <c r="AD272" s="3"/>
      <c r="AE272" s="3"/>
      <c r="AF272" s="4"/>
      <c r="AG272" s="4"/>
      <c r="AH272" s="4"/>
      <c r="AM272" s="3"/>
      <c r="AN272" s="3"/>
      <c r="AO272" s="7"/>
      <c r="AP272" s="7"/>
      <c r="AQ272" s="7"/>
      <c r="AR272" s="6"/>
    </row>
    <row r="273" spans="30:44" x14ac:dyDescent="0.2">
      <c r="AD273" s="3"/>
      <c r="AE273" s="3"/>
      <c r="AF273" s="6"/>
      <c r="AG273" s="6"/>
      <c r="AH273" s="6"/>
      <c r="AM273" s="3"/>
      <c r="AN273" s="3"/>
      <c r="AO273" s="7"/>
      <c r="AP273" s="7"/>
      <c r="AQ273" s="7"/>
      <c r="AR273" s="6"/>
    </row>
    <row r="274" spans="30:44" x14ac:dyDescent="0.2">
      <c r="AD274" s="3"/>
      <c r="AE274" s="3"/>
      <c r="AF274" s="6"/>
      <c r="AG274" s="6"/>
      <c r="AH274" s="6"/>
      <c r="AM274" s="3"/>
      <c r="AN274" s="3"/>
      <c r="AO274" s="7"/>
      <c r="AP274" s="7"/>
      <c r="AQ274" s="7"/>
      <c r="AR274" s="6"/>
    </row>
    <row r="275" spans="30:44" x14ac:dyDescent="0.2">
      <c r="AD275" s="3"/>
      <c r="AE275" s="3"/>
      <c r="AF275" s="6"/>
      <c r="AG275" s="6"/>
      <c r="AH275" s="6"/>
      <c r="AM275" s="3"/>
      <c r="AN275" s="3"/>
      <c r="AO275" s="7"/>
      <c r="AP275" s="7"/>
      <c r="AQ275" s="7"/>
      <c r="AR275" s="6"/>
    </row>
    <row r="276" spans="30:44" x14ac:dyDescent="0.2">
      <c r="AD276" s="3"/>
      <c r="AE276" s="3"/>
      <c r="AF276" s="6"/>
      <c r="AG276" s="6"/>
      <c r="AH276" s="6"/>
      <c r="AM276" s="3"/>
      <c r="AN276" s="3"/>
      <c r="AO276" s="7"/>
      <c r="AP276" s="7"/>
      <c r="AQ276" s="7"/>
      <c r="AR276" s="6"/>
    </row>
    <row r="277" spans="30:44" x14ac:dyDescent="0.2">
      <c r="AM277" s="3"/>
      <c r="AN277" s="3"/>
      <c r="AO277" s="7"/>
      <c r="AP277" s="7"/>
      <c r="AQ277" s="7"/>
      <c r="AR277" s="6"/>
    </row>
    <row r="278" spans="30:44" x14ac:dyDescent="0.2">
      <c r="AD278" s="3"/>
      <c r="AE278" s="3"/>
      <c r="AF278" s="4"/>
      <c r="AG278" s="4"/>
      <c r="AH278" s="4"/>
      <c r="AM278" s="3"/>
      <c r="AN278" s="3"/>
      <c r="AO278" s="7"/>
      <c r="AP278" s="7"/>
      <c r="AQ278" s="7"/>
      <c r="AR278" s="6"/>
    </row>
    <row r="279" spans="30:44" x14ac:dyDescent="0.2">
      <c r="AD279" s="3"/>
      <c r="AE279" s="3"/>
      <c r="AF279" s="6"/>
      <c r="AG279" s="6"/>
      <c r="AH279" s="6"/>
      <c r="AM279" s="3"/>
      <c r="AN279" s="3"/>
      <c r="AO279" s="7"/>
      <c r="AP279" s="7"/>
      <c r="AQ279" s="7"/>
      <c r="AR279" s="6"/>
    </row>
    <row r="280" spans="30:44" x14ac:dyDescent="0.2">
      <c r="AD280" s="3"/>
      <c r="AE280" s="3"/>
      <c r="AF280" s="6"/>
      <c r="AG280" s="6"/>
      <c r="AH280" s="6"/>
      <c r="AM280" s="3"/>
      <c r="AN280" s="3"/>
      <c r="AO280" s="7"/>
      <c r="AP280" s="7"/>
      <c r="AQ280" s="7"/>
      <c r="AR280" s="6"/>
    </row>
    <row r="281" spans="30:44" x14ac:dyDescent="0.2">
      <c r="AD281" s="3"/>
      <c r="AE281" s="3"/>
      <c r="AF281" s="6"/>
      <c r="AG281" s="6"/>
      <c r="AH281" s="6"/>
      <c r="AM281" s="3"/>
      <c r="AN281" s="3"/>
      <c r="AO281" s="7"/>
      <c r="AP281" s="7"/>
      <c r="AQ281" s="7"/>
      <c r="AR281" s="6"/>
    </row>
    <row r="282" spans="30:44" x14ac:dyDescent="0.2">
      <c r="AD282" s="3"/>
      <c r="AE282" s="3"/>
      <c r="AF282" s="6"/>
      <c r="AG282" s="6"/>
      <c r="AH282" s="6"/>
      <c r="AM282" s="3"/>
      <c r="AN282" s="3"/>
      <c r="AO282" s="7"/>
      <c r="AP282" s="7"/>
      <c r="AQ282" s="7"/>
      <c r="AR282" s="6"/>
    </row>
    <row r="283" spans="30:44" x14ac:dyDescent="0.2">
      <c r="AM283" s="3"/>
      <c r="AN283" s="3"/>
      <c r="AO283" s="7"/>
      <c r="AP283" s="7"/>
      <c r="AQ283" s="7"/>
      <c r="AR283" s="6"/>
    </row>
    <row r="284" spans="30:44" x14ac:dyDescent="0.2">
      <c r="AD284" s="3"/>
      <c r="AE284" s="3"/>
      <c r="AF284" s="4"/>
      <c r="AG284" s="4"/>
      <c r="AH284" s="4"/>
      <c r="AM284" s="3"/>
      <c r="AN284" s="3"/>
      <c r="AO284" s="7"/>
      <c r="AP284" s="7"/>
      <c r="AQ284" s="7"/>
      <c r="AR284" s="6"/>
    </row>
    <row r="285" spans="30:44" x14ac:dyDescent="0.2">
      <c r="AD285" s="3"/>
      <c r="AE285" s="3"/>
      <c r="AF285" s="6"/>
      <c r="AG285" s="6"/>
      <c r="AH285" s="6"/>
      <c r="AM285" s="3"/>
      <c r="AN285" s="3"/>
      <c r="AO285" s="7"/>
      <c r="AP285" s="7"/>
      <c r="AQ285" s="7"/>
      <c r="AR285" s="6"/>
    </row>
    <row r="286" spans="30:44" x14ac:dyDescent="0.2">
      <c r="AD286" s="3"/>
      <c r="AE286" s="3"/>
      <c r="AF286" s="6"/>
      <c r="AG286" s="6"/>
      <c r="AH286" s="6"/>
      <c r="AM286" s="3"/>
      <c r="AN286" s="3"/>
      <c r="AO286" s="7"/>
      <c r="AP286" s="7"/>
      <c r="AQ286" s="7"/>
      <c r="AR286" s="6"/>
    </row>
    <row r="287" spans="30:44" x14ac:dyDescent="0.2">
      <c r="AD287" s="3"/>
      <c r="AE287" s="3"/>
      <c r="AF287" s="6"/>
      <c r="AG287" s="6"/>
      <c r="AH287" s="6"/>
      <c r="AM287" s="3"/>
      <c r="AN287" s="3"/>
      <c r="AO287" s="7"/>
      <c r="AP287" s="7"/>
      <c r="AQ287" s="7"/>
      <c r="AR287" s="6"/>
    </row>
    <row r="288" spans="30:44" x14ac:dyDescent="0.2">
      <c r="AD288" s="3"/>
      <c r="AE288" s="3"/>
      <c r="AF288" s="6"/>
      <c r="AG288" s="6"/>
      <c r="AH288" s="6"/>
      <c r="AM288" s="3"/>
      <c r="AN288" s="3"/>
      <c r="AO288" s="7"/>
      <c r="AP288" s="7"/>
      <c r="AQ288" s="7"/>
      <c r="AR288" s="6"/>
    </row>
    <row r="289" spans="30:44" x14ac:dyDescent="0.2">
      <c r="AM289" s="3"/>
      <c r="AN289" s="3"/>
      <c r="AO289" s="7"/>
      <c r="AP289" s="7"/>
      <c r="AQ289" s="7"/>
      <c r="AR289" s="6"/>
    </row>
    <row r="290" spans="30:44" x14ac:dyDescent="0.2">
      <c r="AD290" s="3"/>
      <c r="AE290" s="3"/>
      <c r="AF290" s="4"/>
      <c r="AG290" s="4"/>
      <c r="AH290" s="4"/>
      <c r="AM290" s="3"/>
      <c r="AN290" s="3"/>
      <c r="AO290" s="7"/>
      <c r="AP290" s="7"/>
      <c r="AQ290" s="7"/>
      <c r="AR290" s="6"/>
    </row>
    <row r="291" spans="30:44" x14ac:dyDescent="0.2">
      <c r="AD291" s="3"/>
      <c r="AE291" s="3"/>
      <c r="AF291" s="6"/>
      <c r="AG291" s="6"/>
      <c r="AH291" s="6"/>
      <c r="AM291" s="3"/>
      <c r="AN291" s="3"/>
      <c r="AO291" s="7"/>
      <c r="AP291" s="7"/>
      <c r="AQ291" s="7"/>
      <c r="AR291" s="6"/>
    </row>
    <row r="292" spans="30:44" x14ac:dyDescent="0.2">
      <c r="AD292" s="3"/>
      <c r="AE292" s="3"/>
      <c r="AF292" s="6"/>
      <c r="AG292" s="6"/>
      <c r="AH292" s="6"/>
      <c r="AM292" s="3"/>
      <c r="AN292" s="3"/>
      <c r="AO292" s="7"/>
      <c r="AP292" s="7"/>
      <c r="AQ292" s="7"/>
      <c r="AR292" s="6"/>
    </row>
    <row r="293" spans="30:44" x14ac:dyDescent="0.2">
      <c r="AD293" s="3"/>
      <c r="AE293" s="3"/>
      <c r="AF293" s="6"/>
      <c r="AG293" s="6"/>
      <c r="AH293" s="6"/>
    </row>
    <row r="294" spans="30:44" x14ac:dyDescent="0.2">
      <c r="AD294" s="3"/>
      <c r="AE294" s="3"/>
      <c r="AF294" s="6"/>
      <c r="AG294" s="6"/>
      <c r="AH294" s="6"/>
      <c r="AQ294" s="5"/>
    </row>
    <row r="296" spans="30:44" x14ac:dyDescent="0.2">
      <c r="AD296" s="3"/>
      <c r="AE296" s="3"/>
      <c r="AF296" s="4"/>
      <c r="AG296" s="4"/>
      <c r="AH296" s="4"/>
    </row>
    <row r="297" spans="30:44" x14ac:dyDescent="0.2">
      <c r="AD297" s="3"/>
      <c r="AE297" s="3"/>
      <c r="AF297" s="6"/>
      <c r="AG297" s="6"/>
      <c r="AH297" s="6"/>
    </row>
    <row r="298" spans="30:44" x14ac:dyDescent="0.2">
      <c r="AD298" s="3"/>
      <c r="AE298" s="3"/>
      <c r="AF298" s="6"/>
      <c r="AG298" s="6"/>
      <c r="AH298" s="6"/>
    </row>
    <row r="299" spans="30:44" x14ac:dyDescent="0.2">
      <c r="AD299" s="3"/>
      <c r="AE299" s="3"/>
      <c r="AF299" s="6"/>
      <c r="AG299" s="6"/>
      <c r="AH299" s="6"/>
    </row>
    <row r="300" spans="30:44" x14ac:dyDescent="0.2">
      <c r="AD300" s="3"/>
      <c r="AE300" s="3"/>
      <c r="AF300" s="6"/>
      <c r="AG300" s="6"/>
      <c r="AH300" s="6"/>
    </row>
    <row r="302" spans="30:44" x14ac:dyDescent="0.2">
      <c r="AD302" s="3"/>
      <c r="AE302" s="3"/>
      <c r="AF302" s="4"/>
      <c r="AG302" s="4"/>
      <c r="AH302" s="4"/>
    </row>
    <row r="303" spans="30:44" x14ac:dyDescent="0.2">
      <c r="AD303" s="3"/>
      <c r="AE303" s="3"/>
      <c r="AF303" s="6"/>
      <c r="AG303" s="6"/>
      <c r="AH303" s="6"/>
    </row>
    <row r="304" spans="30:44" x14ac:dyDescent="0.2">
      <c r="AD304" s="3"/>
      <c r="AE304" s="3"/>
      <c r="AF304" s="6"/>
      <c r="AG304" s="6"/>
      <c r="AH304" s="6"/>
    </row>
    <row r="305" spans="30:34" x14ac:dyDescent="0.2">
      <c r="AD305" s="3"/>
      <c r="AE305" s="3"/>
      <c r="AF305" s="6"/>
      <c r="AG305" s="6"/>
      <c r="AH305" s="6"/>
    </row>
    <row r="306" spans="30:34" x14ac:dyDescent="0.2">
      <c r="AD306" s="3"/>
      <c r="AE306" s="3"/>
      <c r="AF306" s="6"/>
      <c r="AG306" s="6"/>
      <c r="AH306" s="6"/>
    </row>
    <row r="308" spans="30:34" x14ac:dyDescent="0.2">
      <c r="AD308" s="3"/>
      <c r="AE308" s="3"/>
      <c r="AF308" s="4"/>
      <c r="AG308" s="4"/>
      <c r="AH308" s="4"/>
    </row>
    <row r="309" spans="30:34" x14ac:dyDescent="0.2">
      <c r="AD309" s="3"/>
      <c r="AE309" s="3"/>
      <c r="AF309" s="6"/>
      <c r="AG309" s="6"/>
      <c r="AH309" s="6"/>
    </row>
    <row r="310" spans="30:34" x14ac:dyDescent="0.2">
      <c r="AD310" s="3"/>
      <c r="AE310" s="3"/>
      <c r="AF310" s="6"/>
      <c r="AG310" s="6"/>
      <c r="AH310" s="6"/>
    </row>
    <row r="311" spans="30:34" x14ac:dyDescent="0.2">
      <c r="AD311" s="3"/>
      <c r="AE311" s="3"/>
      <c r="AF311" s="6"/>
      <c r="AG311" s="6"/>
      <c r="AH311" s="6"/>
    </row>
    <row r="312" spans="30:34" x14ac:dyDescent="0.2">
      <c r="AD312" s="3"/>
      <c r="AE312" s="3"/>
      <c r="AF312" s="6"/>
      <c r="AG312" s="6"/>
      <c r="AH312" s="6"/>
    </row>
    <row r="314" spans="30:34" x14ac:dyDescent="0.2">
      <c r="AD314" s="3"/>
      <c r="AE314" s="3"/>
      <c r="AF314" s="4"/>
      <c r="AG314" s="4"/>
      <c r="AH314" s="4"/>
    </row>
    <row r="315" spans="30:34" x14ac:dyDescent="0.2">
      <c r="AD315" s="3"/>
      <c r="AE315" s="3"/>
      <c r="AF315" s="6"/>
      <c r="AG315" s="6"/>
      <c r="AH315" s="6"/>
    </row>
    <row r="316" spans="30:34" x14ac:dyDescent="0.2">
      <c r="AD316" s="3"/>
      <c r="AE316" s="3"/>
      <c r="AF316" s="6"/>
      <c r="AG316" s="6"/>
      <c r="AH316" s="6"/>
    </row>
    <row r="317" spans="30:34" x14ac:dyDescent="0.2">
      <c r="AD317" s="3"/>
      <c r="AE317" s="3"/>
      <c r="AF317" s="6"/>
      <c r="AG317" s="6"/>
      <c r="AH317" s="6"/>
    </row>
    <row r="318" spans="30:34" x14ac:dyDescent="0.2">
      <c r="AD318" s="3"/>
      <c r="AE318" s="3"/>
      <c r="AF318" s="6"/>
      <c r="AG318" s="6"/>
      <c r="AH318" s="6"/>
    </row>
    <row r="320" spans="30:34" x14ac:dyDescent="0.2">
      <c r="AD320" s="3"/>
      <c r="AE320" s="3"/>
      <c r="AF320" s="4"/>
      <c r="AG320" s="4"/>
      <c r="AH320" s="4"/>
    </row>
    <row r="321" spans="30:34" x14ac:dyDescent="0.2">
      <c r="AD321" s="3"/>
      <c r="AE321" s="3"/>
      <c r="AF321" s="6"/>
      <c r="AG321" s="6"/>
      <c r="AH321" s="6"/>
    </row>
    <row r="322" spans="30:34" x14ac:dyDescent="0.2">
      <c r="AD322" s="3"/>
      <c r="AE322" s="3"/>
      <c r="AF322" s="6"/>
      <c r="AG322" s="6"/>
      <c r="AH322" s="6"/>
    </row>
    <row r="323" spans="30:34" x14ac:dyDescent="0.2">
      <c r="AD323" s="3"/>
      <c r="AE323" s="3"/>
      <c r="AF323" s="6"/>
      <c r="AG323" s="6"/>
      <c r="AH323" s="6"/>
    </row>
    <row r="324" spans="30:34" x14ac:dyDescent="0.2">
      <c r="AD324" s="3"/>
      <c r="AE324" s="3"/>
      <c r="AF324" s="6"/>
      <c r="AG324" s="6"/>
      <c r="AH324" s="6"/>
    </row>
    <row r="326" spans="30:34" x14ac:dyDescent="0.2">
      <c r="AD326" s="3"/>
      <c r="AE326" s="3"/>
      <c r="AF326" s="4"/>
      <c r="AG326" s="4"/>
      <c r="AH326" s="4"/>
    </row>
    <row r="327" spans="30:34" x14ac:dyDescent="0.2">
      <c r="AD327" s="3"/>
      <c r="AE327" s="3"/>
      <c r="AF327" s="6"/>
      <c r="AG327" s="6"/>
      <c r="AH327" s="6"/>
    </row>
    <row r="328" spans="30:34" x14ac:dyDescent="0.2">
      <c r="AD328" s="3"/>
      <c r="AE328" s="3"/>
      <c r="AF328" s="6"/>
      <c r="AG328" s="6"/>
      <c r="AH328" s="6"/>
    </row>
    <row r="329" spans="30:34" x14ac:dyDescent="0.2">
      <c r="AD329" s="3"/>
      <c r="AE329" s="3"/>
      <c r="AF329" s="6"/>
      <c r="AG329" s="6"/>
      <c r="AH329" s="6"/>
    </row>
    <row r="330" spans="30:34" x14ac:dyDescent="0.2">
      <c r="AD330" s="3"/>
      <c r="AE330" s="3"/>
      <c r="AF330" s="6"/>
      <c r="AG330" s="6"/>
      <c r="AH330" s="6"/>
    </row>
    <row r="331" spans="30:34" x14ac:dyDescent="0.2">
      <c r="AD331" s="3"/>
      <c r="AE331" s="3"/>
      <c r="AF331" s="6"/>
      <c r="AG331" s="6"/>
      <c r="AH331" s="6"/>
    </row>
  </sheetData>
  <protectedRanges>
    <protectedRange sqref="K46:K56" name="Range5"/>
    <protectedRange sqref="H18:H23 H5:H14" name="Range4"/>
    <protectedRange sqref="D4:D8" name="Range1"/>
    <protectedRange sqref="D26 D11:D13 D19 D15:D17 D30:D34 D42:D44" name="Range2"/>
  </protectedRanges>
  <mergeCells count="6">
    <mergeCell ref="I9:K9"/>
    <mergeCell ref="I5:K5"/>
    <mergeCell ref="I10:K10"/>
    <mergeCell ref="I6:K6"/>
    <mergeCell ref="I7:K7"/>
    <mergeCell ref="I8:K8"/>
  </mergeCells>
  <phoneticPr fontId="1" type="noConversion"/>
  <pageMargins left="0.75" right="0.75" top="1" bottom="1" header="0.5" footer="0.5"/>
  <pageSetup scale="73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74"/>
  <sheetViews>
    <sheetView workbookViewId="0">
      <selection activeCell="O47" sqref="O47"/>
    </sheetView>
  </sheetViews>
  <sheetFormatPr defaultRowHeight="11.25" x14ac:dyDescent="0.2"/>
  <cols>
    <col min="1" max="16" width="9.140625" style="12"/>
    <col min="17" max="17" width="10.140625" style="12" customWidth="1"/>
    <col min="18" max="20" width="9.140625" style="12"/>
    <col min="21" max="21" width="10" style="12" bestFit="1" customWidth="1"/>
    <col min="22" max="25" width="9.140625" style="12"/>
    <col min="26" max="26" width="18.5703125" style="12" customWidth="1"/>
    <col min="27" max="27" width="10" style="12" customWidth="1"/>
    <col min="28" max="33" width="9.140625" style="12"/>
    <col min="34" max="34" width="8" style="12" customWidth="1"/>
    <col min="35" max="16384" width="9.140625" style="12"/>
  </cols>
  <sheetData>
    <row r="1" spans="1:22" ht="12" thickBot="1" x14ac:dyDescent="0.25"/>
    <row r="2" spans="1:22" ht="12" thickBot="1" x14ac:dyDescent="0.25">
      <c r="Q2" s="19" t="s">
        <v>58</v>
      </c>
      <c r="R2" s="40">
        <f>IF(Design!D19="x",Design!D44,Design!D43)</f>
        <v>4</v>
      </c>
    </row>
    <row r="3" spans="1:22" x14ac:dyDescent="0.2">
      <c r="F3" s="95"/>
    </row>
    <row r="5" spans="1:22" x14ac:dyDescent="0.2">
      <c r="C5" s="17" t="s">
        <v>7</v>
      </c>
      <c r="D5" s="17" t="s">
        <v>8</v>
      </c>
      <c r="E5" s="17"/>
      <c r="F5" s="17" t="s">
        <v>7</v>
      </c>
      <c r="G5" s="17" t="s">
        <v>8</v>
      </c>
      <c r="H5" s="17"/>
      <c r="I5" s="17" t="s">
        <v>47</v>
      </c>
      <c r="J5" s="17" t="s">
        <v>48</v>
      </c>
      <c r="K5" s="17"/>
      <c r="L5" s="17" t="s">
        <v>3</v>
      </c>
      <c r="M5" s="17" t="s">
        <v>4</v>
      </c>
      <c r="N5" s="8"/>
      <c r="O5" s="8"/>
      <c r="P5" s="8"/>
      <c r="Q5" s="46" t="s">
        <v>71</v>
      </c>
    </row>
    <row r="6" spans="1:22" x14ac:dyDescent="0.2">
      <c r="A6" s="13" t="str">
        <f>Design!I5</f>
        <v>Panel A, top &amp; bottom</v>
      </c>
      <c r="B6" s="96"/>
      <c r="C6" s="97">
        <f>C24-Design!D46</f>
        <v>99.8</v>
      </c>
      <c r="D6" s="97">
        <f>D24</f>
        <v>81.28</v>
      </c>
      <c r="E6" s="98"/>
      <c r="F6" s="97">
        <f>IF(Design!$H$5="x",C6,Design!#REF!)</f>
        <v>99.8</v>
      </c>
      <c r="G6" s="97">
        <f>IF(Design!$H$5="x",D6,Design!#REF!)</f>
        <v>81.28</v>
      </c>
      <c r="H6" s="98"/>
      <c r="I6" s="97"/>
      <c r="J6" s="97"/>
      <c r="K6" s="98"/>
      <c r="L6" s="99"/>
      <c r="M6" s="100"/>
      <c r="Q6" s="101" t="s">
        <v>41</v>
      </c>
      <c r="R6" s="102"/>
      <c r="S6" s="103">
        <f>COS(Design!$D$43*PI()/180)</f>
        <v>0.9975640502598242</v>
      </c>
    </row>
    <row r="7" spans="1:22" x14ac:dyDescent="0.2">
      <c r="A7" s="104"/>
      <c r="B7" s="105"/>
      <c r="C7" s="106">
        <f>C6</f>
        <v>99.8</v>
      </c>
      <c r="D7" s="106">
        <f>D26</f>
        <v>0</v>
      </c>
      <c r="E7" s="107"/>
      <c r="F7" s="106">
        <f>IF(Design!$H$5="x",C7,Design!#REF!)</f>
        <v>99.8</v>
      </c>
      <c r="G7" s="106">
        <f>IF(Design!$H$5="x",D7,Design!#REF!)</f>
        <v>0</v>
      </c>
      <c r="H7" s="107"/>
      <c r="I7" s="108">
        <f t="shared" ref="I7:J10" si="0">C6-C7</f>
        <v>0</v>
      </c>
      <c r="J7" s="108">
        <f t="shared" si="0"/>
        <v>81.28</v>
      </c>
      <c r="K7" s="108">
        <f>(I7^2+J7^2)^0.5</f>
        <v>81.28</v>
      </c>
      <c r="L7" s="108"/>
      <c r="M7" s="109"/>
      <c r="Q7" s="110" t="s">
        <v>42</v>
      </c>
      <c r="R7" s="111"/>
      <c r="S7" s="112">
        <f>SIN(Design!$D$43*PI()/180)</f>
        <v>6.9756473744125302E-2</v>
      </c>
    </row>
    <row r="8" spans="1:22" x14ac:dyDescent="0.2">
      <c r="A8" s="104"/>
      <c r="B8" s="105"/>
      <c r="C8" s="106">
        <f>C7+Design!D46</f>
        <v>101.6</v>
      </c>
      <c r="D8" s="106">
        <f>D7</f>
        <v>0</v>
      </c>
      <c r="E8" s="107"/>
      <c r="F8" s="106">
        <f>IF(Design!$H$5="x",C8,Design!#REF!)</f>
        <v>101.6</v>
      </c>
      <c r="G8" s="106">
        <f>IF(Design!$H$5="x",D8,Design!#REF!)</f>
        <v>0</v>
      </c>
      <c r="H8" s="107"/>
      <c r="I8" s="108">
        <f t="shared" si="0"/>
        <v>-1.7999999999999972</v>
      </c>
      <c r="J8" s="108">
        <f t="shared" si="0"/>
        <v>0</v>
      </c>
      <c r="K8" s="108">
        <f>(I8^2+J8^2)^0.5</f>
        <v>1.7999999999999972</v>
      </c>
      <c r="L8" s="108"/>
      <c r="M8" s="109"/>
      <c r="Q8" s="110" t="s">
        <v>45</v>
      </c>
      <c r="R8" s="111"/>
      <c r="S8" s="112">
        <f>TAN(Design!$D$43*PI()/180)</f>
        <v>6.9926811943510414E-2</v>
      </c>
    </row>
    <row r="9" spans="1:22" x14ac:dyDescent="0.2">
      <c r="A9" s="104"/>
      <c r="B9" s="105"/>
      <c r="C9" s="106">
        <f>C8</f>
        <v>101.6</v>
      </c>
      <c r="D9" s="106">
        <f>D6</f>
        <v>81.28</v>
      </c>
      <c r="E9" s="105"/>
      <c r="F9" s="106">
        <f>IF(Design!$H$5="x",C9,Design!#REF!)</f>
        <v>101.6</v>
      </c>
      <c r="G9" s="106">
        <f>IF(Design!$H$5="x",D9,Design!#REF!)</f>
        <v>81.28</v>
      </c>
      <c r="H9" s="107"/>
      <c r="I9" s="108">
        <f t="shared" si="0"/>
        <v>0</v>
      </c>
      <c r="J9" s="108">
        <f t="shared" si="0"/>
        <v>-81.28</v>
      </c>
      <c r="K9" s="108">
        <f>(I9^2+J9^2)^0.5</f>
        <v>81.28</v>
      </c>
      <c r="L9" s="108"/>
      <c r="M9" s="109"/>
      <c r="Q9" s="110"/>
      <c r="R9" s="111"/>
      <c r="S9" s="113"/>
    </row>
    <row r="10" spans="1:22" x14ac:dyDescent="0.2">
      <c r="A10" s="114"/>
      <c r="B10" s="115"/>
      <c r="C10" s="116">
        <f>C6</f>
        <v>99.8</v>
      </c>
      <c r="D10" s="116">
        <f>D6</f>
        <v>81.28</v>
      </c>
      <c r="E10" s="115"/>
      <c r="F10" s="116">
        <f>IF(Design!$H$5="x",C10,Design!#REF!)</f>
        <v>99.8</v>
      </c>
      <c r="G10" s="116">
        <f>IF(Design!$H$5="x",D10,Design!#REF!)</f>
        <v>81.28</v>
      </c>
      <c r="H10" s="115"/>
      <c r="I10" s="117">
        <f t="shared" si="0"/>
        <v>1.7999999999999972</v>
      </c>
      <c r="J10" s="117">
        <f t="shared" si="0"/>
        <v>0</v>
      </c>
      <c r="K10" s="117">
        <f>(I10^2+J10^2)^0.5</f>
        <v>1.7999999999999972</v>
      </c>
      <c r="L10" s="115"/>
      <c r="M10" s="118"/>
      <c r="Q10" s="110" t="s">
        <v>41</v>
      </c>
      <c r="R10" s="111"/>
      <c r="S10" s="112">
        <f>COS(Design!$D$43*PI()/(180*2))</f>
        <v>0.99939082701909576</v>
      </c>
      <c r="V10" s="119">
        <f>COS(ATAN(V12))</f>
        <v>1</v>
      </c>
    </row>
    <row r="11" spans="1:22" x14ac:dyDescent="0.2">
      <c r="C11" s="120"/>
      <c r="Q11" s="110" t="s">
        <v>42</v>
      </c>
      <c r="R11" s="111"/>
      <c r="S11" s="112">
        <f>SIN(Design!$D$43*PI()/(180*2))</f>
        <v>3.4899496702500969E-2</v>
      </c>
      <c r="V11" s="119">
        <f>SIN(ATAN(V12))</f>
        <v>0</v>
      </c>
    </row>
    <row r="12" spans="1:22" x14ac:dyDescent="0.2">
      <c r="A12" s="13" t="str">
        <f>Design!I5</f>
        <v>Panel A, top &amp; bottom</v>
      </c>
      <c r="B12" s="96"/>
      <c r="C12" s="97">
        <f>C25</f>
        <v>0</v>
      </c>
      <c r="D12" s="97">
        <f>D6</f>
        <v>81.28</v>
      </c>
      <c r="E12" s="98"/>
      <c r="F12" s="97">
        <f>IF(Design!$H$5="x",C12,Design!#REF!)</f>
        <v>0</v>
      </c>
      <c r="G12" s="97">
        <f>IF(Design!$H$5="x",D12,Design!#REF!)</f>
        <v>81.28</v>
      </c>
      <c r="H12" s="98"/>
      <c r="I12" s="97"/>
      <c r="J12" s="97"/>
      <c r="K12" s="98"/>
      <c r="L12" s="99"/>
      <c r="M12" s="100"/>
      <c r="Q12" s="121" t="s">
        <v>45</v>
      </c>
      <c r="R12" s="122"/>
      <c r="S12" s="123">
        <f>TAN(Design!$D$43*PI()/(180*2))</f>
        <v>3.492076949174773E-2</v>
      </c>
      <c r="V12" s="119">
        <f>(Panels!D85-Panels!D84)/(Panels!C85-Panels!C84)</f>
        <v>0</v>
      </c>
    </row>
    <row r="13" spans="1:22" x14ac:dyDescent="0.2">
      <c r="A13" s="104"/>
      <c r="B13" s="105"/>
      <c r="C13" s="106">
        <f>C12</f>
        <v>0</v>
      </c>
      <c r="D13" s="106">
        <f>D7</f>
        <v>0</v>
      </c>
      <c r="E13" s="107"/>
      <c r="F13" s="106">
        <f>IF(Design!$H$5="x",C13,Design!#REF!)</f>
        <v>0</v>
      </c>
      <c r="G13" s="106">
        <f>IF(Design!$H$5="x",D13,Design!#REF!)</f>
        <v>0</v>
      </c>
      <c r="H13" s="107"/>
      <c r="I13" s="108">
        <f t="shared" ref="I13:J16" si="1">C12-C13</f>
        <v>0</v>
      </c>
      <c r="J13" s="108">
        <f t="shared" si="1"/>
        <v>81.28</v>
      </c>
      <c r="K13" s="108">
        <f>(I13^2+J13^2)^0.5</f>
        <v>81.28</v>
      </c>
      <c r="L13" s="108"/>
      <c r="M13" s="109"/>
    </row>
    <row r="14" spans="1:22" x14ac:dyDescent="0.2">
      <c r="A14" s="104"/>
      <c r="B14" s="105"/>
      <c r="C14" s="106">
        <f>C13+Design!D46</f>
        <v>1.8</v>
      </c>
      <c r="D14" s="106">
        <f>D13</f>
        <v>0</v>
      </c>
      <c r="E14" s="107"/>
      <c r="F14" s="106">
        <f>IF(Design!$H$5="x",C14,Design!#REF!)</f>
        <v>1.8</v>
      </c>
      <c r="G14" s="106">
        <f>IF(Design!$H$5="x",D14,Design!#REF!)</f>
        <v>0</v>
      </c>
      <c r="H14" s="107"/>
      <c r="I14" s="108">
        <f t="shared" si="1"/>
        <v>-1.8</v>
      </c>
      <c r="J14" s="108">
        <f t="shared" si="1"/>
        <v>0</v>
      </c>
      <c r="K14" s="108">
        <f>(I14^2+J14^2)^0.5</f>
        <v>1.8</v>
      </c>
      <c r="L14" s="108"/>
      <c r="M14" s="109"/>
      <c r="Q14" s="46" t="s">
        <v>72</v>
      </c>
    </row>
    <row r="15" spans="1:22" x14ac:dyDescent="0.2">
      <c r="A15" s="104"/>
      <c r="B15" s="105"/>
      <c r="C15" s="106">
        <f>C14</f>
        <v>1.8</v>
      </c>
      <c r="D15" s="106">
        <f>D12</f>
        <v>81.28</v>
      </c>
      <c r="E15" s="105"/>
      <c r="F15" s="106">
        <f>IF(Design!$H$5="x",C15,Design!#REF!)</f>
        <v>1.8</v>
      </c>
      <c r="G15" s="106">
        <f>IF(Design!$H$5="x",D15,Design!#REF!)</f>
        <v>81.28</v>
      </c>
      <c r="H15" s="107"/>
      <c r="I15" s="108">
        <f t="shared" si="1"/>
        <v>0</v>
      </c>
      <c r="J15" s="108">
        <f t="shared" si="1"/>
        <v>-81.28</v>
      </c>
      <c r="K15" s="108">
        <f>(I15^2+J15^2)^0.5</f>
        <v>81.28</v>
      </c>
      <c r="L15" s="108"/>
      <c r="M15" s="109"/>
      <c r="Q15" s="101" t="s">
        <v>41</v>
      </c>
      <c r="R15" s="102"/>
      <c r="S15" s="103">
        <f>COS(Panels!$R$2*PI()/180)</f>
        <v>0.9975640502598242</v>
      </c>
    </row>
    <row r="16" spans="1:22" x14ac:dyDescent="0.2">
      <c r="A16" s="114"/>
      <c r="B16" s="115"/>
      <c r="C16" s="116">
        <f>C12</f>
        <v>0</v>
      </c>
      <c r="D16" s="116">
        <f>D12</f>
        <v>81.28</v>
      </c>
      <c r="E16" s="115"/>
      <c r="F16" s="116">
        <f>IF(Design!$H$5="x",C16,Design!#REF!)</f>
        <v>0</v>
      </c>
      <c r="G16" s="116">
        <f>IF(Design!$H$5="x",D16,Design!#REF!)</f>
        <v>81.28</v>
      </c>
      <c r="H16" s="115"/>
      <c r="I16" s="117">
        <f t="shared" si="1"/>
        <v>1.8</v>
      </c>
      <c r="J16" s="117">
        <f t="shared" si="1"/>
        <v>0</v>
      </c>
      <c r="K16" s="117">
        <f>(I16^2+J16^2)^0.5</f>
        <v>1.8</v>
      </c>
      <c r="L16" s="115"/>
      <c r="M16" s="118"/>
      <c r="Q16" s="110" t="s">
        <v>42</v>
      </c>
      <c r="R16" s="111"/>
      <c r="S16" s="112">
        <f>SIN(Panels!$R$2*PI()/180)</f>
        <v>6.9756473744125302E-2</v>
      </c>
    </row>
    <row r="17" spans="1:19" x14ac:dyDescent="0.2">
      <c r="Q17" s="110" t="s">
        <v>45</v>
      </c>
      <c r="R17" s="111"/>
      <c r="S17" s="112">
        <f>TAN(Panels!$R$2*PI()/180)</f>
        <v>6.9926811943510414E-2</v>
      </c>
    </row>
    <row r="18" spans="1:19" x14ac:dyDescent="0.2">
      <c r="A18" s="13" t="s">
        <v>66</v>
      </c>
      <c r="B18" s="96"/>
      <c r="C18" s="97">
        <f>C38-Design!D47*Panels!S25</f>
        <v>49.727094648871351</v>
      </c>
      <c r="D18" s="97">
        <f>D21+Design!D47*Panels!S26</f>
        <v>82.229942979875347</v>
      </c>
      <c r="E18" s="98"/>
      <c r="F18" s="97">
        <f>IF(Design!$H$6="x",C18,Design!#REF!)</f>
        <v>49.727094648871351</v>
      </c>
      <c r="G18" s="97">
        <f>IF(Design!$H$6="x",D18,Design!#REF!)</f>
        <v>82.229942979875347</v>
      </c>
      <c r="H18" s="98"/>
      <c r="I18" s="99"/>
      <c r="J18" s="99"/>
      <c r="K18" s="99"/>
      <c r="L18" s="99">
        <f>IF(C19=C18,"",(D19-D18)/(C19-C18))</f>
        <v>3.6553843546522597</v>
      </c>
      <c r="M18" s="100">
        <f>IF(L18="","",D18-L18*C18)</f>
        <v>-99.541700801921081</v>
      </c>
      <c r="Q18" s="110"/>
      <c r="R18" s="111"/>
      <c r="S18" s="113"/>
    </row>
    <row r="19" spans="1:19" x14ac:dyDescent="0.2">
      <c r="A19" s="104"/>
      <c r="B19" s="105"/>
      <c r="C19" s="106">
        <f>C18-Design!F47*S26</f>
        <v>35.346013425758528</v>
      </c>
      <c r="D19" s="106">
        <f>D18-Design!F47*Panels!S25</f>
        <v>29.66156367392535</v>
      </c>
      <c r="E19" s="107"/>
      <c r="F19" s="106">
        <f>IF(Design!$H$6="x",C19,Design!#REF!)</f>
        <v>35.346013425758528</v>
      </c>
      <c r="G19" s="106">
        <f>IF(Design!$H$6="x",D19,Design!#REF!)</f>
        <v>29.66156367392535</v>
      </c>
      <c r="H19" s="107"/>
      <c r="I19" s="108">
        <f t="shared" ref="I19:J22" si="2">C18-C19</f>
        <v>14.381081223112822</v>
      </c>
      <c r="J19" s="108">
        <f t="shared" si="2"/>
        <v>52.568379305949996</v>
      </c>
      <c r="K19" s="108">
        <f>(I19^2+J19^2)^0.5</f>
        <v>54.5</v>
      </c>
      <c r="L19" s="108">
        <f>IF(C20=C19,"",(D20-D19)/(C20-C19))</f>
        <v>-0.27356904308223678</v>
      </c>
      <c r="M19" s="109">
        <f>IF(L19="","",D19-L19*C19)</f>
        <v>39.331138743582002</v>
      </c>
      <c r="Q19" s="110" t="s">
        <v>41</v>
      </c>
      <c r="R19" s="111"/>
      <c r="S19" s="112">
        <f>COS(Panels!$R$2*PI()/(180*2))</f>
        <v>0.99939082701909576</v>
      </c>
    </row>
    <row r="20" spans="1:19" x14ac:dyDescent="0.2">
      <c r="A20" s="104"/>
      <c r="B20" s="105"/>
      <c r="C20" s="106">
        <f>C19+Design!D47*S25</f>
        <v>38.818420132206604</v>
      </c>
      <c r="D20" s="106">
        <f>D19-Design!D47*Panels!S26</f>
        <v>28.711620694050008</v>
      </c>
      <c r="E20" s="105"/>
      <c r="F20" s="106">
        <f>IF(Design!$H$6="x",C20,Design!#REF!)</f>
        <v>38.818420132206604</v>
      </c>
      <c r="G20" s="106">
        <f>IF(Design!$H$6="x",D20,Design!#REF!)</f>
        <v>28.711620694050008</v>
      </c>
      <c r="H20" s="107"/>
      <c r="I20" s="108">
        <f t="shared" si="2"/>
        <v>-3.4724067064480764</v>
      </c>
      <c r="J20" s="108">
        <f t="shared" si="2"/>
        <v>0.94994297987534182</v>
      </c>
      <c r="K20" s="108">
        <f>(I20^2+J20^2)^0.5</f>
        <v>3.6000000000000032</v>
      </c>
      <c r="L20" s="108">
        <f>IF(C21=C20,"",(D21-D20)/(C21-C20))</f>
        <v>3.6553843546522593</v>
      </c>
      <c r="M20" s="109">
        <f>IF(L20="","",D20-L20*C20)</f>
        <v>-113.1846249295363</v>
      </c>
      <c r="Q20" s="110" t="s">
        <v>42</v>
      </c>
      <c r="R20" s="111"/>
      <c r="S20" s="112">
        <f>SIN(Panels!$R$2*PI()/(180*2))</f>
        <v>3.4899496702500969E-2</v>
      </c>
    </row>
    <row r="21" spans="1:19" x14ac:dyDescent="0.2">
      <c r="A21" s="104"/>
      <c r="B21" s="105"/>
      <c r="C21" s="106">
        <f>C37</f>
        <v>53.199501355319427</v>
      </c>
      <c r="D21" s="106">
        <f>D37</f>
        <v>81.28</v>
      </c>
      <c r="E21" s="105"/>
      <c r="F21" s="106">
        <f>IF(Design!$H$6="x",C21,Design!#REF!)</f>
        <v>53.199501355319427</v>
      </c>
      <c r="G21" s="106">
        <f>IF(Design!$H$6="x",D21,Design!#REF!)</f>
        <v>81.28</v>
      </c>
      <c r="H21" s="107"/>
      <c r="I21" s="108">
        <f t="shared" si="2"/>
        <v>-14.381081223112822</v>
      </c>
      <c r="J21" s="108">
        <f t="shared" si="2"/>
        <v>-52.568379305949989</v>
      </c>
      <c r="K21" s="108">
        <f>(I21^2+J21^2)^0.5</f>
        <v>54.499999999999993</v>
      </c>
      <c r="L21" s="108">
        <f>IF(C22=C21,"",(D22-D21)/(C22-C21))</f>
        <v>-0.27356904308223784</v>
      </c>
      <c r="M21" s="109">
        <f>IF(L21="","",D21-L21*C21)</f>
        <v>95.833736678226956</v>
      </c>
      <c r="Q21" s="121" t="s">
        <v>45</v>
      </c>
      <c r="R21" s="122"/>
      <c r="S21" s="123">
        <f>TAN(Panels!$R$2*PI()/(180*2))</f>
        <v>3.492076949174773E-2</v>
      </c>
    </row>
    <row r="22" spans="1:19" x14ac:dyDescent="0.2">
      <c r="A22" s="114"/>
      <c r="B22" s="115"/>
      <c r="C22" s="116">
        <f>C18</f>
        <v>49.727094648871351</v>
      </c>
      <c r="D22" s="116">
        <f>D18</f>
        <v>82.229942979875347</v>
      </c>
      <c r="E22" s="115"/>
      <c r="F22" s="116">
        <f>IF(Design!$H$6="x",C22,Design!#REF!)</f>
        <v>49.727094648871351</v>
      </c>
      <c r="G22" s="116">
        <f>IF(Design!$H$6="x",D22,Design!#REF!)</f>
        <v>82.229942979875347</v>
      </c>
      <c r="H22" s="115"/>
      <c r="I22" s="117">
        <f t="shared" si="2"/>
        <v>3.4724067064480764</v>
      </c>
      <c r="J22" s="117">
        <f t="shared" si="2"/>
        <v>-0.94994297987534537</v>
      </c>
      <c r="K22" s="117">
        <f>(I22^2+J22^2)^0.5</f>
        <v>3.6000000000000036</v>
      </c>
      <c r="L22" s="117"/>
      <c r="M22" s="124"/>
    </row>
    <row r="23" spans="1:19" x14ac:dyDescent="0.2">
      <c r="C23" s="120"/>
    </row>
    <row r="24" spans="1:19" x14ac:dyDescent="0.2">
      <c r="A24" s="13" t="s">
        <v>55</v>
      </c>
      <c r="B24" s="96"/>
      <c r="C24" s="97">
        <f>Design!D13</f>
        <v>101.6</v>
      </c>
      <c r="D24" s="97">
        <f>Design!D11</f>
        <v>81.28</v>
      </c>
      <c r="E24" s="98"/>
      <c r="F24" s="97">
        <f>IF(Design!$H$7="x",C24,Design!#REF!)</f>
        <v>101.6</v>
      </c>
      <c r="G24" s="97">
        <f>IF(Design!$H$7="x",D24,Design!#REF!)</f>
        <v>81.28</v>
      </c>
      <c r="H24" s="98"/>
      <c r="I24" s="99"/>
      <c r="J24" s="99"/>
      <c r="K24" s="99"/>
      <c r="L24" s="99"/>
      <c r="M24" s="100"/>
      <c r="Q24" s="46" t="s">
        <v>73</v>
      </c>
    </row>
    <row r="25" spans="1:19" x14ac:dyDescent="0.2">
      <c r="A25" s="104"/>
      <c r="B25" s="105"/>
      <c r="C25" s="106">
        <v>0</v>
      </c>
      <c r="D25" s="106">
        <f>D24</f>
        <v>81.28</v>
      </c>
      <c r="E25" s="107"/>
      <c r="F25" s="106">
        <f>IF(Design!$H$7="x",C25,Design!#REF!)</f>
        <v>0</v>
      </c>
      <c r="G25" s="106">
        <f>IF(Design!$H$7="x",D25,Design!#REF!)</f>
        <v>81.28</v>
      </c>
      <c r="H25" s="107"/>
      <c r="I25" s="108">
        <f t="shared" ref="I25:J28" si="3">C24-C25</f>
        <v>101.6</v>
      </c>
      <c r="J25" s="108">
        <f t="shared" si="3"/>
        <v>0</v>
      </c>
      <c r="K25" s="108">
        <f>(I25^2+J25^2)^0.5</f>
        <v>101.6</v>
      </c>
      <c r="L25" s="108"/>
      <c r="M25" s="109"/>
      <c r="Q25" s="101" t="s">
        <v>41</v>
      </c>
      <c r="R25" s="102"/>
      <c r="S25" s="103">
        <f>COS(Design!$D$44*PI()/180)</f>
        <v>0.96455741845779808</v>
      </c>
    </row>
    <row r="26" spans="1:19" x14ac:dyDescent="0.2">
      <c r="A26" s="104"/>
      <c r="B26" s="105"/>
      <c r="C26" s="106">
        <f>C25</f>
        <v>0</v>
      </c>
      <c r="D26" s="106">
        <v>0</v>
      </c>
      <c r="E26" s="107"/>
      <c r="F26" s="106">
        <f>IF(Design!$H$7="x",C26,Design!#REF!)</f>
        <v>0</v>
      </c>
      <c r="G26" s="106">
        <f>IF(Design!$H$7="x",D26,Design!#REF!)</f>
        <v>0</v>
      </c>
      <c r="H26" s="107"/>
      <c r="I26" s="108">
        <f t="shared" si="3"/>
        <v>0</v>
      </c>
      <c r="J26" s="108">
        <f t="shared" si="3"/>
        <v>81.28</v>
      </c>
      <c r="K26" s="108">
        <f>(I26^2+J26^2)^0.5</f>
        <v>81.28</v>
      </c>
      <c r="L26" s="108"/>
      <c r="M26" s="109"/>
      <c r="Q26" s="110" t="s">
        <v>42</v>
      </c>
      <c r="R26" s="111"/>
      <c r="S26" s="112">
        <f>SIN(Design!$D$44*PI()/180)</f>
        <v>0.26387304996537286</v>
      </c>
    </row>
    <row r="27" spans="1:19" x14ac:dyDescent="0.2">
      <c r="A27" s="104"/>
      <c r="B27" s="105"/>
      <c r="C27" s="106">
        <f>C24</f>
        <v>101.6</v>
      </c>
      <c r="D27" s="106">
        <f>D26</f>
        <v>0</v>
      </c>
      <c r="E27" s="107"/>
      <c r="F27" s="106">
        <f>IF(Design!$H$7="x",C27,Design!#REF!)</f>
        <v>101.6</v>
      </c>
      <c r="G27" s="106">
        <f>IF(Design!$H$7="x",D27,Design!#REF!)</f>
        <v>0</v>
      </c>
      <c r="H27" s="107"/>
      <c r="I27" s="108">
        <f t="shared" si="3"/>
        <v>-101.6</v>
      </c>
      <c r="J27" s="108">
        <f t="shared" si="3"/>
        <v>0</v>
      </c>
      <c r="K27" s="108">
        <f>(I27^2+J27^2)^0.5</f>
        <v>101.6</v>
      </c>
      <c r="L27" s="108"/>
      <c r="M27" s="109"/>
      <c r="Q27" s="110" t="s">
        <v>45</v>
      </c>
      <c r="R27" s="111"/>
      <c r="S27" s="112">
        <f>TAN(Design!$D$44*PI()/180)</f>
        <v>0.27356904308223723</v>
      </c>
    </row>
    <row r="28" spans="1:19" x14ac:dyDescent="0.2">
      <c r="A28" s="114"/>
      <c r="B28" s="115"/>
      <c r="C28" s="116">
        <f>C24</f>
        <v>101.6</v>
      </c>
      <c r="D28" s="116">
        <f>D24</f>
        <v>81.28</v>
      </c>
      <c r="E28" s="115"/>
      <c r="F28" s="116">
        <f>IF(Design!$H$7="x",C28,Design!#REF!)</f>
        <v>101.6</v>
      </c>
      <c r="G28" s="116">
        <f>IF(Design!$H$7="x",D28,Design!#REF!)</f>
        <v>81.28</v>
      </c>
      <c r="H28" s="115"/>
      <c r="I28" s="117">
        <f t="shared" si="3"/>
        <v>0</v>
      </c>
      <c r="J28" s="117">
        <f t="shared" si="3"/>
        <v>-81.28</v>
      </c>
      <c r="K28" s="117">
        <f>(I28^2+J28^2)^0.5</f>
        <v>81.28</v>
      </c>
      <c r="L28" s="115"/>
      <c r="M28" s="118"/>
      <c r="Q28" s="110"/>
      <c r="R28" s="111"/>
      <c r="S28" s="113"/>
    </row>
    <row r="29" spans="1:19" x14ac:dyDescent="0.2">
      <c r="Q29" s="110" t="s">
        <v>41</v>
      </c>
      <c r="R29" s="111"/>
      <c r="S29" s="112">
        <f>COS(Design!$D$44*PI()/(180*2))</f>
        <v>0.99109974736597484</v>
      </c>
    </row>
    <row r="30" spans="1:19" x14ac:dyDescent="0.2">
      <c r="A30" s="13" t="s">
        <v>40</v>
      </c>
      <c r="B30" s="96"/>
      <c r="C30" s="97">
        <f>C14</f>
        <v>1.8</v>
      </c>
      <c r="D30" s="97">
        <f>D26+Design!D49</f>
        <v>1.8</v>
      </c>
      <c r="E30" s="98"/>
      <c r="F30" s="97">
        <f>IF(Design!$H$8="x",C30,Design!#REF!)</f>
        <v>1.8</v>
      </c>
      <c r="G30" s="97">
        <f>IF(Design!$H$8="x",D30,Design!#REF!)</f>
        <v>1.8</v>
      </c>
      <c r="H30" s="98"/>
      <c r="I30" s="99"/>
      <c r="J30" s="99"/>
      <c r="K30" s="99"/>
      <c r="L30" s="99"/>
      <c r="M30" s="100"/>
      <c r="Q30" s="110" t="s">
        <v>42</v>
      </c>
      <c r="R30" s="111"/>
      <c r="S30" s="112">
        <f>SIN(Design!$D$44*PI()/(180*2))</f>
        <v>0.13312133852655234</v>
      </c>
    </row>
    <row r="31" spans="1:19" x14ac:dyDescent="0.2">
      <c r="A31" s="104"/>
      <c r="B31" s="105"/>
      <c r="C31" s="106">
        <f>C7</f>
        <v>99.8</v>
      </c>
      <c r="D31" s="106">
        <f>D30</f>
        <v>1.8</v>
      </c>
      <c r="E31" s="107"/>
      <c r="F31" s="106">
        <f>IF(Design!$H$8="x",C31,Design!#REF!)</f>
        <v>99.8</v>
      </c>
      <c r="G31" s="106">
        <f>IF(Design!$H$8="x",D31,Design!#REF!)</f>
        <v>1.8</v>
      </c>
      <c r="H31" s="107"/>
      <c r="I31" s="108">
        <f t="shared" ref="I31:J34" si="4">C30-C31</f>
        <v>-98</v>
      </c>
      <c r="J31" s="108">
        <f t="shared" si="4"/>
        <v>0</v>
      </c>
      <c r="K31" s="108">
        <f>(I31^2+J31^2)^0.5</f>
        <v>98</v>
      </c>
      <c r="L31" s="108"/>
      <c r="M31" s="109"/>
      <c r="Q31" s="121" t="s">
        <v>45</v>
      </c>
      <c r="R31" s="122"/>
      <c r="S31" s="123">
        <f>TAN(Design!$D$44*PI()/(180*2))</f>
        <v>0.13431679190752108</v>
      </c>
    </row>
    <row r="32" spans="1:19" x14ac:dyDescent="0.2">
      <c r="A32" s="104"/>
      <c r="B32" s="105"/>
      <c r="C32" s="106">
        <f>C31</f>
        <v>99.8</v>
      </c>
      <c r="D32" s="106">
        <f>D31-Design!D49</f>
        <v>0</v>
      </c>
      <c r="E32" s="107"/>
      <c r="F32" s="106">
        <f>IF(Design!$H$8="x",C32,Design!#REF!)</f>
        <v>99.8</v>
      </c>
      <c r="G32" s="106">
        <f>IF(Design!$H$8="x",D32,Design!#REF!)</f>
        <v>0</v>
      </c>
      <c r="H32" s="107"/>
      <c r="I32" s="108">
        <f t="shared" si="4"/>
        <v>0</v>
      </c>
      <c r="J32" s="108">
        <f t="shared" si="4"/>
        <v>1.8</v>
      </c>
      <c r="K32" s="108">
        <f>(I32^2+J32^2)^0.5</f>
        <v>1.8</v>
      </c>
      <c r="L32" s="108"/>
      <c r="M32" s="109"/>
    </row>
    <row r="33" spans="1:25" x14ac:dyDescent="0.2">
      <c r="A33" s="104"/>
      <c r="B33" s="105"/>
      <c r="C33" s="106">
        <f>C30</f>
        <v>1.8</v>
      </c>
      <c r="D33" s="106">
        <f>D32</f>
        <v>0</v>
      </c>
      <c r="E33" s="107"/>
      <c r="F33" s="106">
        <f>IF(Design!$H$8="x",C33,Design!#REF!)</f>
        <v>1.8</v>
      </c>
      <c r="G33" s="106">
        <f>IF(Design!$H$8="x",D33,Design!#REF!)</f>
        <v>0</v>
      </c>
      <c r="H33" s="107"/>
      <c r="I33" s="108">
        <f t="shared" si="4"/>
        <v>98</v>
      </c>
      <c r="J33" s="108">
        <f t="shared" si="4"/>
        <v>0</v>
      </c>
      <c r="K33" s="108">
        <f>(I33^2+J33^2)^0.5</f>
        <v>98</v>
      </c>
      <c r="L33" s="108"/>
      <c r="M33" s="109"/>
      <c r="Q33" s="47" t="s">
        <v>74</v>
      </c>
    </row>
    <row r="34" spans="1:25" x14ac:dyDescent="0.2">
      <c r="A34" s="114"/>
      <c r="B34" s="115"/>
      <c r="C34" s="116">
        <f>C30</f>
        <v>1.8</v>
      </c>
      <c r="D34" s="116">
        <f>D30</f>
        <v>1.8</v>
      </c>
      <c r="E34" s="125"/>
      <c r="F34" s="116">
        <f>IF(Design!$H$8="x",C34,Design!#REF!)</f>
        <v>1.8</v>
      </c>
      <c r="G34" s="116">
        <f>IF(Design!$H$8="x",D34,Design!#REF!)</f>
        <v>1.8</v>
      </c>
      <c r="H34" s="125"/>
      <c r="I34" s="117">
        <f t="shared" si="4"/>
        <v>0</v>
      </c>
      <c r="J34" s="117">
        <f t="shared" si="4"/>
        <v>-1.8</v>
      </c>
      <c r="K34" s="117">
        <f>(I34^2+J34^2)^0.5</f>
        <v>1.8</v>
      </c>
      <c r="L34" s="115"/>
      <c r="M34" s="118"/>
      <c r="Q34" s="101" t="s">
        <v>41</v>
      </c>
      <c r="R34" s="102"/>
      <c r="S34" s="103">
        <f>COS((Design!$D$44+Design!$D$43)*PI()/180)</f>
        <v>0.94380095158322941</v>
      </c>
    </row>
    <row r="35" spans="1:25" x14ac:dyDescent="0.2">
      <c r="Q35" s="110" t="s">
        <v>42</v>
      </c>
      <c r="R35" s="111"/>
      <c r="S35" s="112">
        <f>SIN((Design!$D$44+Design!$D$43)*PI()/180)</f>
        <v>0.33051439271322308</v>
      </c>
    </row>
    <row r="36" spans="1:25" x14ac:dyDescent="0.2">
      <c r="A36" s="13" t="s">
        <v>56</v>
      </c>
      <c r="B36" s="96"/>
      <c r="C36" s="97">
        <f>C6</f>
        <v>99.8</v>
      </c>
      <c r="D36" s="97">
        <f>D24</f>
        <v>81.28</v>
      </c>
      <c r="E36" s="98"/>
      <c r="F36" s="97">
        <f>IF(Design!$H$9="x",C36,Design!#REF!)</f>
        <v>99.8</v>
      </c>
      <c r="G36" s="97">
        <f>IF(Design!$H$9="x",D36,Design!#REF!)</f>
        <v>81.28</v>
      </c>
      <c r="H36" s="98"/>
      <c r="I36" s="99"/>
      <c r="J36" s="99"/>
      <c r="K36" s="99"/>
      <c r="L36" s="99"/>
      <c r="M36" s="100"/>
      <c r="Q36" s="121" t="s">
        <v>45</v>
      </c>
      <c r="R36" s="122"/>
      <c r="S36" s="123">
        <f>TAN((Design!$D$44+Design!$D$43)*PI()/180)</f>
        <v>0.35019501957354887</v>
      </c>
    </row>
    <row r="37" spans="1:25" x14ac:dyDescent="0.2">
      <c r="A37" s="104"/>
      <c r="B37" s="105"/>
      <c r="C37" s="106">
        <f>((Design!D30/(Design!D12-2*Design!D48))^2-(Design!D47*S26)^2)^0.5+Design!D47*S25+Design!D46</f>
        <v>53.199501355319427</v>
      </c>
      <c r="D37" s="106">
        <f>D36</f>
        <v>81.28</v>
      </c>
      <c r="E37" s="107"/>
      <c r="F37" s="106">
        <f>IF(Design!$H$9="x",C37,Design!#REF!)</f>
        <v>53.199501355319427</v>
      </c>
      <c r="G37" s="106">
        <f>IF(Design!$H$9="x",D37,Design!#REF!)</f>
        <v>81.28</v>
      </c>
      <c r="H37" s="107"/>
      <c r="I37" s="108">
        <f t="shared" ref="I37:J40" si="5">C36-C37</f>
        <v>46.60049864468057</v>
      </c>
      <c r="J37" s="108">
        <f t="shared" si="5"/>
        <v>0</v>
      </c>
      <c r="K37" s="108">
        <f>(I37^2+J37^2)^0.5</f>
        <v>46.60049864468057</v>
      </c>
      <c r="L37" s="108"/>
      <c r="M37" s="109"/>
      <c r="Q37" s="110"/>
      <c r="R37" s="111"/>
      <c r="S37" s="113"/>
    </row>
    <row r="38" spans="1:25" x14ac:dyDescent="0.2">
      <c r="A38" s="104"/>
      <c r="B38" s="105"/>
      <c r="C38" s="106">
        <f>C37</f>
        <v>53.199501355319427</v>
      </c>
      <c r="D38" s="106">
        <f>D37-Design!D50</f>
        <v>79.48</v>
      </c>
      <c r="E38" s="107"/>
      <c r="F38" s="106">
        <f>IF(Design!$H$9="x",C38,Design!#REF!)</f>
        <v>53.199501355319427</v>
      </c>
      <c r="G38" s="106">
        <f>IF(Design!$H$9="x",D38,Design!#REF!)</f>
        <v>79.48</v>
      </c>
      <c r="H38" s="107"/>
      <c r="I38" s="108">
        <f t="shared" si="5"/>
        <v>0</v>
      </c>
      <c r="J38" s="108">
        <f t="shared" si="5"/>
        <v>1.7999999999999972</v>
      </c>
      <c r="K38" s="108">
        <f>(I38^2+J38^2)^0.5</f>
        <v>1.7999999999999972</v>
      </c>
      <c r="L38" s="108"/>
      <c r="M38" s="109"/>
      <c r="Q38" s="110" t="s">
        <v>41</v>
      </c>
      <c r="R38" s="111"/>
      <c r="S38" s="112">
        <f>COS((Design!$D$44+Design!D43)*PI()/(180*2))</f>
        <v>0.98585012846355846</v>
      </c>
      <c r="Y38" s="45"/>
    </row>
    <row r="39" spans="1:25" x14ac:dyDescent="0.2">
      <c r="A39" s="104"/>
      <c r="B39" s="105"/>
      <c r="C39" s="106">
        <f>C36</f>
        <v>99.8</v>
      </c>
      <c r="D39" s="106">
        <f>D38</f>
        <v>79.48</v>
      </c>
      <c r="E39" s="107"/>
      <c r="F39" s="106">
        <f>IF(Design!$H$9="x",C39,Design!#REF!)</f>
        <v>99.8</v>
      </c>
      <c r="G39" s="106">
        <f>IF(Design!$H$9="x",D39,Design!#REF!)</f>
        <v>79.48</v>
      </c>
      <c r="H39" s="107"/>
      <c r="I39" s="108">
        <f t="shared" si="5"/>
        <v>-46.60049864468057</v>
      </c>
      <c r="J39" s="108">
        <f t="shared" si="5"/>
        <v>0</v>
      </c>
      <c r="K39" s="108">
        <f>(I39^2+J39^2)^0.5</f>
        <v>46.60049864468057</v>
      </c>
      <c r="L39" s="108"/>
      <c r="M39" s="109"/>
      <c r="Q39" s="110" t="s">
        <v>42</v>
      </c>
      <c r="R39" s="111"/>
      <c r="S39" s="112">
        <f>SIN((Design!$D$44+Design!D43)*PI()/(180*2))</f>
        <v>0.16762912696898857</v>
      </c>
    </row>
    <row r="40" spans="1:25" x14ac:dyDescent="0.2">
      <c r="A40" s="114"/>
      <c r="B40" s="115"/>
      <c r="C40" s="116">
        <f>C39</f>
        <v>99.8</v>
      </c>
      <c r="D40" s="116">
        <f>D37</f>
        <v>81.28</v>
      </c>
      <c r="E40" s="125"/>
      <c r="F40" s="116">
        <f>IF(Design!$H$9="x",C40,Design!#REF!)</f>
        <v>99.8</v>
      </c>
      <c r="G40" s="116">
        <f>IF(Design!$H$9="x",D40,Design!#REF!)</f>
        <v>81.28</v>
      </c>
      <c r="H40" s="125"/>
      <c r="I40" s="117">
        <f t="shared" si="5"/>
        <v>0</v>
      </c>
      <c r="J40" s="117">
        <f t="shared" si="5"/>
        <v>-1.7999999999999972</v>
      </c>
      <c r="K40" s="117">
        <f>(I40^2+J40^2)^0.5</f>
        <v>1.7999999999999972</v>
      </c>
      <c r="L40" s="115"/>
      <c r="M40" s="118"/>
      <c r="Q40" s="121" t="s">
        <v>45</v>
      </c>
      <c r="R40" s="122"/>
      <c r="S40" s="123">
        <f>TAN((Design!$D$44+Design!D43)*PI()/(180*2))</f>
        <v>0.17003510181637604</v>
      </c>
    </row>
    <row r="42" spans="1:25" x14ac:dyDescent="0.2">
      <c r="A42" s="13"/>
      <c r="B42" s="96"/>
      <c r="C42" s="97"/>
      <c r="D42" s="97"/>
      <c r="E42" s="98"/>
      <c r="F42" s="97"/>
      <c r="G42" s="97"/>
      <c r="H42" s="98"/>
      <c r="I42" s="99"/>
      <c r="J42" s="99"/>
      <c r="K42" s="99"/>
      <c r="L42" s="99"/>
      <c r="M42" s="100"/>
      <c r="Q42" s="47" t="s">
        <v>78</v>
      </c>
    </row>
    <row r="43" spans="1:25" x14ac:dyDescent="0.2">
      <c r="A43" s="104"/>
      <c r="B43" s="105"/>
      <c r="C43" s="106" t="e">
        <f>((Design!D30/(Design!D12-2*Design!D48))^2-(Design!D47*Panels!S26)^2)^0.5+Design!D47*Panels!S25+Design!D46+Design!#REF!</f>
        <v>#REF!</v>
      </c>
      <c r="D43" s="106"/>
      <c r="E43" s="107"/>
      <c r="F43" s="106"/>
      <c r="G43" s="106"/>
      <c r="H43" s="107"/>
      <c r="I43" s="108"/>
      <c r="J43" s="108"/>
      <c r="K43" s="108"/>
      <c r="L43" s="108"/>
      <c r="M43" s="109"/>
      <c r="Q43" s="101" t="s">
        <v>41</v>
      </c>
      <c r="R43" s="102"/>
      <c r="S43" s="103">
        <f>COS((Design!$D$44-$R$2)*PI()/180)</f>
        <v>0.98061465854661301</v>
      </c>
    </row>
    <row r="44" spans="1:25" x14ac:dyDescent="0.2">
      <c r="A44" s="104"/>
      <c r="B44" s="105"/>
      <c r="C44" s="106"/>
      <c r="D44" s="106"/>
      <c r="E44" s="107"/>
      <c r="F44" s="106"/>
      <c r="G44" s="106"/>
      <c r="H44" s="107"/>
      <c r="I44" s="108"/>
      <c r="J44" s="108"/>
      <c r="K44" s="108"/>
      <c r="L44" s="108"/>
      <c r="M44" s="109"/>
      <c r="Q44" s="110" t="s">
        <v>42</v>
      </c>
      <c r="R44" s="111"/>
      <c r="S44" s="112">
        <f>SIN((Design!$D$44-$R$2)*PI()/180)</f>
        <v>0.19594614424251769</v>
      </c>
    </row>
    <row r="45" spans="1:25" x14ac:dyDescent="0.2">
      <c r="A45" s="104"/>
      <c r="B45" s="105"/>
      <c r="C45" s="106"/>
      <c r="D45" s="106"/>
      <c r="E45" s="107"/>
      <c r="F45" s="106"/>
      <c r="G45" s="106"/>
      <c r="H45" s="107"/>
      <c r="I45" s="108"/>
      <c r="J45" s="108"/>
      <c r="K45" s="108"/>
      <c r="L45" s="108"/>
      <c r="M45" s="109"/>
      <c r="Q45" s="121" t="s">
        <v>45</v>
      </c>
      <c r="R45" s="122"/>
      <c r="S45" s="123">
        <f>TAN((Design!$D$44-$R$2)*PI()/180)</f>
        <v>0.19981971769923679</v>
      </c>
    </row>
    <row r="46" spans="1:25" x14ac:dyDescent="0.2">
      <c r="A46" s="114"/>
      <c r="B46" s="115"/>
      <c r="C46" s="116"/>
      <c r="D46" s="116"/>
      <c r="E46" s="125"/>
      <c r="F46" s="116"/>
      <c r="G46" s="116"/>
      <c r="H46" s="125"/>
      <c r="I46" s="117"/>
      <c r="J46" s="117"/>
      <c r="K46" s="117"/>
      <c r="L46" s="115"/>
      <c r="M46" s="118"/>
    </row>
    <row r="47" spans="1:25" x14ac:dyDescent="0.2">
      <c r="Q47" s="47" t="s">
        <v>107</v>
      </c>
    </row>
    <row r="48" spans="1:25" x14ac:dyDescent="0.2">
      <c r="A48" s="21" t="s">
        <v>34</v>
      </c>
      <c r="B48" s="22"/>
      <c r="C48" s="23">
        <f>C20-Design!D47*S15</f>
        <v>35.227189551271238</v>
      </c>
      <c r="D48" s="23">
        <f>D20+Design!$D$47*S16</f>
        <v>28.962743999528861</v>
      </c>
      <c r="E48" s="24"/>
      <c r="F48" s="25">
        <f>IF(Design!$H$10="x",C48,Design!#REF!)</f>
        <v>35.227189551271238</v>
      </c>
      <c r="G48" s="25">
        <f>IF(Design!$H$10="x",D48,Design!#REF!)</f>
        <v>28.962743999528861</v>
      </c>
      <c r="H48" s="24"/>
      <c r="I48" s="23"/>
      <c r="J48" s="23"/>
      <c r="K48" s="23"/>
      <c r="L48" s="23">
        <f>IF(C49=C48,"",(D49-D48)/(C49-C48))</f>
        <v>14.300666256711635</v>
      </c>
      <c r="M48" s="26">
        <f>IF(L48="","",D48-L48*C48)</f>
        <v>-474.80953693512038</v>
      </c>
      <c r="Q48" s="101" t="s">
        <v>41</v>
      </c>
      <c r="R48" s="102"/>
      <c r="S48" s="103">
        <f>COS((Design!D43-Design!D42+Design!D44)*PI()/180)</f>
        <v>0.98540789848349009</v>
      </c>
    </row>
    <row r="49" spans="1:24" x14ac:dyDescent="0.2">
      <c r="A49" s="27"/>
      <c r="B49" s="28"/>
      <c r="C49" s="126">
        <f>C48-Design!D51*S16</f>
        <v>35.10162789853181</v>
      </c>
      <c r="D49" s="126">
        <f>D48-Design!D51*S15</f>
        <v>27.167128709061178</v>
      </c>
      <c r="E49" s="28"/>
      <c r="F49" s="31">
        <f>IF(Design!$H$10="x",C49,Design!#REF!)</f>
        <v>35.10162789853181</v>
      </c>
      <c r="G49" s="31">
        <f>IF(Design!$H$10="x",D49,Design!#REF!)</f>
        <v>27.167128709061178</v>
      </c>
      <c r="H49" s="30"/>
      <c r="I49" s="29">
        <f t="shared" ref="I49:J52" si="6">C48-C49</f>
        <v>0.1255616527394281</v>
      </c>
      <c r="J49" s="29">
        <f t="shared" si="6"/>
        <v>1.7956152904676834</v>
      </c>
      <c r="K49" s="29">
        <f>(I49^2+J49^2)^0.5</f>
        <v>1.8</v>
      </c>
      <c r="L49" s="29">
        <f>IF(C50=C49,"",(D50-D49)/(C50-C49))</f>
        <v>-6.99268119435104E-2</v>
      </c>
      <c r="M49" s="32">
        <f>IF(L49="","",D49-L49*C49)</f>
        <v>29.621673642032889</v>
      </c>
      <c r="Q49" s="110" t="s">
        <v>42</v>
      </c>
      <c r="R49" s="111"/>
      <c r="S49" s="112">
        <f>SIN((Design!D43-Design!D42+Design!D44)*PI()/180)</f>
        <v>0.17020949916603256</v>
      </c>
    </row>
    <row r="50" spans="1:24" x14ac:dyDescent="0.2">
      <c r="A50" s="27"/>
      <c r="B50" s="28"/>
      <c r="C50" s="126">
        <f>C49+Design!F51*S15</f>
        <v>78.495664084834161</v>
      </c>
      <c r="D50" s="126">
        <f>D49-Design!F51*S16</f>
        <v>24.132722101191728</v>
      </c>
      <c r="E50" s="28"/>
      <c r="F50" s="31">
        <f>IF(Design!$H$10="x",C50,Design!#REF!)</f>
        <v>78.495664084834161</v>
      </c>
      <c r="G50" s="31">
        <f>IF(Design!$H$10="x",D50,Design!#REF!)</f>
        <v>24.132722101191728</v>
      </c>
      <c r="H50" s="30"/>
      <c r="I50" s="29">
        <f t="shared" si="6"/>
        <v>-43.394036186302351</v>
      </c>
      <c r="J50" s="29">
        <f t="shared" si="6"/>
        <v>3.0344066078694496</v>
      </c>
      <c r="K50" s="29">
        <f>(I50^2+J50^2)^0.5</f>
        <v>43.499999999999993</v>
      </c>
      <c r="L50" s="29">
        <f>IF(C51=C50,"",(D51-D50)/(C51-C50))</f>
        <v>14.300666256712445</v>
      </c>
      <c r="M50" s="32">
        <f>IF(L50="","",D50-L50*C50)</f>
        <v>-1098.4075725750311</v>
      </c>
      <c r="Q50" s="121" t="s">
        <v>45</v>
      </c>
      <c r="R50" s="122"/>
      <c r="S50" s="123">
        <f>TAN((Design!D43-Design!D42+Design!D44)*PI()/180)</f>
        <v>0.17272999275526338</v>
      </c>
    </row>
    <row r="51" spans="1:24" x14ac:dyDescent="0.2">
      <c r="A51" s="27"/>
      <c r="B51" s="28"/>
      <c r="C51" s="126">
        <f>C50+Design!D51*S16</f>
        <v>78.621225737573582</v>
      </c>
      <c r="D51" s="126">
        <f>D50+Design!D51*S15</f>
        <v>25.928337391659412</v>
      </c>
      <c r="E51" s="28"/>
      <c r="F51" s="31">
        <f>IF(Design!$H$10="x",C51,Design!#REF!)</f>
        <v>78.621225737573582</v>
      </c>
      <c r="G51" s="31">
        <f>IF(Design!$H$10="x",D51,Design!#REF!)</f>
        <v>25.928337391659412</v>
      </c>
      <c r="H51" s="30"/>
      <c r="I51" s="29">
        <f t="shared" si="6"/>
        <v>-0.12556165273942099</v>
      </c>
      <c r="J51" s="29">
        <f t="shared" si="6"/>
        <v>-1.7956152904676834</v>
      </c>
      <c r="K51" s="29">
        <f>(I51^2+J51^2)^0.5</f>
        <v>1.7999999999999994</v>
      </c>
      <c r="L51" s="29">
        <f>IF(C52=C51,"",(D52-D51)/(C52-C51))</f>
        <v>-6.9926811943510414E-2</v>
      </c>
      <c r="M51" s="32">
        <f>IF(L51="","",D51-L51*C51)</f>
        <v>31.426069058578999</v>
      </c>
    </row>
    <row r="52" spans="1:24" x14ac:dyDescent="0.2">
      <c r="A52" s="33"/>
      <c r="B52" s="34"/>
      <c r="C52" s="35">
        <f>C48</f>
        <v>35.227189551271238</v>
      </c>
      <c r="D52" s="35">
        <f>D48</f>
        <v>28.962743999528861</v>
      </c>
      <c r="E52" s="34"/>
      <c r="F52" s="36">
        <f>IF(Design!$H$10="x",C52,Design!#REF!)</f>
        <v>35.227189551271238</v>
      </c>
      <c r="G52" s="36">
        <f>IF(Design!$H$10="x",D52,Design!#REF!)</f>
        <v>28.962743999528861</v>
      </c>
      <c r="H52" s="34"/>
      <c r="I52" s="37">
        <f t="shared" si="6"/>
        <v>43.394036186302344</v>
      </c>
      <c r="J52" s="37">
        <f t="shared" si="6"/>
        <v>-3.0344066078694496</v>
      </c>
      <c r="K52" s="37">
        <f>(I52^2+J52^2)^0.5</f>
        <v>43.499999999999986</v>
      </c>
      <c r="L52" s="35"/>
      <c r="M52" s="127"/>
      <c r="S52" s="120" t="s">
        <v>7</v>
      </c>
      <c r="T52" s="120" t="s">
        <v>8</v>
      </c>
      <c r="U52" s="120" t="s">
        <v>9</v>
      </c>
      <c r="V52" s="120" t="s">
        <v>10</v>
      </c>
      <c r="W52" s="120" t="s">
        <v>22</v>
      </c>
      <c r="X52" s="120" t="s">
        <v>31</v>
      </c>
    </row>
    <row r="53" spans="1:24" x14ac:dyDescent="0.2">
      <c r="S53" s="44">
        <f>Panels!C19</f>
        <v>35.346013425758528</v>
      </c>
      <c r="T53" s="44">
        <f>Panels!D19</f>
        <v>29.66156367392535</v>
      </c>
      <c r="U53" s="120"/>
      <c r="V53" s="120"/>
      <c r="W53" s="120"/>
      <c r="X53" s="120"/>
    </row>
    <row r="54" spans="1:24" x14ac:dyDescent="0.2">
      <c r="A54" s="21" t="s">
        <v>35</v>
      </c>
      <c r="B54" s="22"/>
      <c r="C54" s="23">
        <f>C57-Design!$D$52*S34</f>
        <v>49.791624685064669</v>
      </c>
      <c r="D54" s="23">
        <f>D57+Design!$D$52*Panels!S35</f>
        <v>27.944299482864629</v>
      </c>
      <c r="E54" s="24"/>
      <c r="F54" s="25"/>
      <c r="G54" s="25"/>
      <c r="H54" s="24"/>
      <c r="I54" s="23"/>
      <c r="J54" s="23"/>
      <c r="K54" s="23"/>
      <c r="L54" s="23">
        <f>IF(C55=C54,"",(D55-D54)/(C55-C54))</f>
        <v>2.8555517471886187</v>
      </c>
      <c r="M54" s="26">
        <f>IF(L54="","",D54-L54*C54)</f>
        <v>-114.23826138193172</v>
      </c>
      <c r="S54" s="44">
        <f>Panels!C18</f>
        <v>49.727094648871351</v>
      </c>
      <c r="T54" s="44">
        <f>Panels!D18</f>
        <v>82.229942979875347</v>
      </c>
      <c r="U54" s="44">
        <f>S53-S54</f>
        <v>-14.381081223112822</v>
      </c>
      <c r="V54" s="44">
        <f>T53-T54</f>
        <v>-52.568379305949996</v>
      </c>
      <c r="W54" s="44">
        <f>(U54^2+V54^2)^0.5</f>
        <v>54.5</v>
      </c>
      <c r="X54" s="95">
        <f>V54/U54</f>
        <v>3.6553843546522597</v>
      </c>
    </row>
    <row r="55" spans="1:24" x14ac:dyDescent="0.2">
      <c r="A55" s="27"/>
      <c r="B55" s="28"/>
      <c r="C55" s="126">
        <f>C54+Design!F52*Panels!S35</f>
        <v>63.27661190776417</v>
      </c>
      <c r="D55" s="126">
        <f>D54+Design!F52*Panels!S34</f>
        <v>66.451378307460388</v>
      </c>
      <c r="E55" s="28"/>
      <c r="F55" s="31"/>
      <c r="G55" s="31"/>
      <c r="H55" s="30"/>
      <c r="I55" s="29">
        <f t="shared" ref="I55:J58" si="7">C54-C55</f>
        <v>-13.484987222699502</v>
      </c>
      <c r="J55" s="29">
        <f t="shared" si="7"/>
        <v>-38.507078824595759</v>
      </c>
      <c r="K55" s="29">
        <f>(I55^2+J55^2)^0.5</f>
        <v>40.799999999999997</v>
      </c>
      <c r="L55" s="29" t="str">
        <f>IF(C56=C55,"",(D56-D55)/(C56-C55))</f>
        <v/>
      </c>
      <c r="M55" s="32" t="str">
        <f>IF(L55="","",D55-L55*C55)</f>
        <v/>
      </c>
      <c r="S55" s="44"/>
      <c r="T55" s="44"/>
      <c r="U55" s="120"/>
      <c r="V55" s="120"/>
      <c r="W55" s="120"/>
      <c r="X55" s="120"/>
    </row>
    <row r="56" spans="1:24" x14ac:dyDescent="0.2">
      <c r="A56" s="27"/>
      <c r="B56" s="28"/>
      <c r="C56" s="126">
        <f>C55+Design!D52*Panels!S34</f>
        <v>63.27661190776417</v>
      </c>
      <c r="D56" s="126">
        <f>D55-Design!D52*Panels!S35</f>
        <v>66.451378307460388</v>
      </c>
      <c r="E56" s="28"/>
      <c r="F56" s="31"/>
      <c r="G56" s="31"/>
      <c r="H56" s="30"/>
      <c r="I56" s="29">
        <f t="shared" si="7"/>
        <v>0</v>
      </c>
      <c r="J56" s="29">
        <f t="shared" si="7"/>
        <v>0</v>
      </c>
      <c r="K56" s="29">
        <f>(I56^2+J56^2)^0.5</f>
        <v>0</v>
      </c>
      <c r="L56" s="29">
        <f>IF(C57=C56,"",(D57-D56)/(C57-C56))</f>
        <v>2.8555517471886187</v>
      </c>
      <c r="M56" s="32">
        <f>IF(L56="","",D56-L56*C56)</f>
        <v>-114.23826138193174</v>
      </c>
      <c r="S56" s="95">
        <f>IF(Design!$H$23="x",Design!$D$58*SIN(ATAN($X$54)),0)</f>
        <v>0</v>
      </c>
      <c r="T56" s="44">
        <f>IF(Design!$H$23="x",Design!$D$58*COS(ATAN($X$54)),0)</f>
        <v>0</v>
      </c>
      <c r="U56" s="120"/>
      <c r="V56" s="120"/>
      <c r="W56" s="44"/>
      <c r="X56" s="120"/>
    </row>
    <row r="57" spans="1:24" x14ac:dyDescent="0.2">
      <c r="A57" s="27"/>
      <c r="B57" s="28"/>
      <c r="C57" s="126">
        <f>C20+Design!D17*S15</f>
        <v>49.791624685064669</v>
      </c>
      <c r="D57" s="126">
        <f>D20-Design!D17*S16</f>
        <v>27.944299482864629</v>
      </c>
      <c r="E57" s="28"/>
      <c r="F57" s="31"/>
      <c r="G57" s="31"/>
      <c r="H57" s="30"/>
      <c r="I57" s="29">
        <f t="shared" si="7"/>
        <v>13.484987222699502</v>
      </c>
      <c r="J57" s="29">
        <f t="shared" si="7"/>
        <v>38.507078824595759</v>
      </c>
      <c r="K57" s="29">
        <f>(I57^2+J57^2)^0.5</f>
        <v>40.799999999999997</v>
      </c>
      <c r="L57" s="29" t="str">
        <f>IF(C58=C57,"",(D58-D57)/(C58-C57))</f>
        <v/>
      </c>
      <c r="M57" s="32" t="str">
        <f>IF(L57="","",D57-L57*C57)</f>
        <v/>
      </c>
      <c r="Q57" s="9" t="s">
        <v>24</v>
      </c>
      <c r="S57" s="120"/>
      <c r="T57" s="120"/>
      <c r="U57" s="120"/>
      <c r="V57" s="120"/>
      <c r="W57" s="44"/>
      <c r="X57" s="120"/>
    </row>
    <row r="58" spans="1:24" x14ac:dyDescent="0.2">
      <c r="A58" s="33"/>
      <c r="B58" s="34"/>
      <c r="C58" s="35">
        <f>C54</f>
        <v>49.791624685064669</v>
      </c>
      <c r="D58" s="35">
        <f>D54</f>
        <v>27.944299482864629</v>
      </c>
      <c r="E58" s="34"/>
      <c r="F58" s="36"/>
      <c r="G58" s="36"/>
      <c r="H58" s="34"/>
      <c r="I58" s="37">
        <f t="shared" si="7"/>
        <v>0</v>
      </c>
      <c r="J58" s="37">
        <f t="shared" si="7"/>
        <v>0</v>
      </c>
      <c r="K58" s="37">
        <f>(I58^2+J58^2)^0.5</f>
        <v>0</v>
      </c>
      <c r="L58" s="35"/>
      <c r="M58" s="127"/>
      <c r="Q58" s="9"/>
      <c r="S58" s="120"/>
      <c r="T58" s="120"/>
      <c r="U58" s="120"/>
      <c r="V58" s="120"/>
      <c r="W58" s="44"/>
      <c r="X58" s="120"/>
    </row>
    <row r="59" spans="1:24" x14ac:dyDescent="0.2">
      <c r="Q59" s="12" t="s">
        <v>59</v>
      </c>
      <c r="R59" s="12" t="str">
        <f>Design!$H$20</f>
        <v>x</v>
      </c>
      <c r="S59" s="44">
        <f>S60+(Design!$D$4*COS(ATAN($X$54)))/2+S56</f>
        <v>49.837507763994246</v>
      </c>
      <c r="T59" s="44">
        <f>T60+(Design!$D$4*SIN(ATAN($X$54)))/2</f>
        <v>77.985890338661036</v>
      </c>
      <c r="U59" s="44">
        <f t="shared" ref="U59:U64" si="8">IF(R59="x",S59,0)</f>
        <v>49.837507763994246</v>
      </c>
      <c r="V59" s="44">
        <f t="shared" ref="V59:V64" si="9">IF(R59="x",T59,0)</f>
        <v>77.985890338661036</v>
      </c>
      <c r="W59" s="44"/>
      <c r="X59" s="120"/>
    </row>
    <row r="60" spans="1:24" x14ac:dyDescent="0.2">
      <c r="A60" s="21" t="s">
        <v>86</v>
      </c>
      <c r="B60" s="22"/>
      <c r="C60" s="23">
        <f>C64</f>
        <v>48.017890467794388</v>
      </c>
      <c r="D60" s="23">
        <f>D64</f>
        <v>28.250676581363489</v>
      </c>
      <c r="E60" s="24"/>
      <c r="F60" s="25">
        <f>IF(Design!$H$11="x",C60,Design!#REF!)</f>
        <v>48.017890467794388</v>
      </c>
      <c r="G60" s="25">
        <f>IF(Design!$H$11="x",D60,Design!#REF!)</f>
        <v>28.250676581363489</v>
      </c>
      <c r="H60" s="24"/>
      <c r="I60" s="23"/>
      <c r="J60" s="23"/>
      <c r="K60" s="23"/>
      <c r="L60" s="23">
        <f>IF(C61=C60,"",(D61-D60)/(C61-C60))</f>
        <v>5.7893825157329477</v>
      </c>
      <c r="M60" s="26">
        <f>IF(L60="","",D60-L60*C60)</f>
        <v>-249.74325893526512</v>
      </c>
      <c r="R60" s="12" t="str">
        <f>Design!$H$20</f>
        <v>x</v>
      </c>
      <c r="S60" s="44">
        <f>S53+(Design!D15/Panels!S34)-U54*Design!D16/W54-S56</f>
        <v>43.808008572285473</v>
      </c>
      <c r="T60" s="44">
        <f>T53-(V54*Design!D16/W54)-T56</f>
        <v>55.945753326900345</v>
      </c>
      <c r="U60" s="44">
        <f t="shared" si="8"/>
        <v>43.808008572285473</v>
      </c>
      <c r="V60" s="44">
        <f t="shared" si="9"/>
        <v>55.945753326900345</v>
      </c>
      <c r="W60" s="44"/>
      <c r="X60" s="120"/>
    </row>
    <row r="61" spans="1:24" x14ac:dyDescent="0.2">
      <c r="A61" s="27"/>
      <c r="B61" s="28"/>
      <c r="C61" s="126">
        <f>C62-Design!D53*Panels!S48</f>
        <v>52.366353663341243</v>
      </c>
      <c r="D61" s="126">
        <f>D62+Design!D53*Panels!S49</f>
        <v>53.425593375970678</v>
      </c>
      <c r="E61" s="28"/>
      <c r="F61" s="31">
        <f>IF(Design!$H$11="x",C61,Design!#REF!)</f>
        <v>52.366353663341243</v>
      </c>
      <c r="G61" s="31">
        <f>IF(Design!$H$11="x",D61,Design!#REF!)</f>
        <v>53.425593375970678</v>
      </c>
      <c r="H61" s="30"/>
      <c r="I61" s="29">
        <f t="shared" ref="I61:J64" si="10">C60-C61</f>
        <v>-4.3484631955468558</v>
      </c>
      <c r="J61" s="29">
        <f t="shared" si="10"/>
        <v>-25.174916794607189</v>
      </c>
      <c r="K61" s="29">
        <f>(I61^2+J61^2)^0.5</f>
        <v>25.547711595726547</v>
      </c>
      <c r="L61" s="29">
        <f>IF(C62=C61,"",(D62-D61)/(C62-C61))</f>
        <v>-0.17272999275526232</v>
      </c>
      <c r="M61" s="32">
        <f>IF(L61="","",D61-L61*C61)</f>
        <v>62.470833264859117</v>
      </c>
      <c r="R61" s="12" t="str">
        <f>Design!$H$20</f>
        <v>x</v>
      </c>
      <c r="S61" s="44">
        <f>S60-Design!$D$6*SIN(ATAN($X$54))</f>
        <v>23.745214268363274</v>
      </c>
      <c r="T61" s="44">
        <f>T60+Design!$D$6*COS(ATAN($X$54))</f>
        <v>61.434312766180099</v>
      </c>
      <c r="U61" s="44">
        <f t="shared" si="8"/>
        <v>23.745214268363274</v>
      </c>
      <c r="V61" s="44">
        <f t="shared" si="9"/>
        <v>61.434312766180099</v>
      </c>
      <c r="W61" s="44"/>
      <c r="X61" s="120"/>
    </row>
    <row r="62" spans="1:24" x14ac:dyDescent="0.2">
      <c r="A62" s="27"/>
      <c r="B62" s="28"/>
      <c r="C62" s="126">
        <f>Path!AG18</f>
        <v>54.140087880611524</v>
      </c>
      <c r="D62" s="126">
        <f>Path!AH18</f>
        <v>53.119216277471821</v>
      </c>
      <c r="E62" s="28"/>
      <c r="F62" s="31">
        <f>IF(Design!$H$11="x",C62,Design!#REF!)</f>
        <v>54.140087880611524</v>
      </c>
      <c r="G62" s="31">
        <f>IF(Design!$H$11="x",D62,Design!#REF!)</f>
        <v>53.119216277471821</v>
      </c>
      <c r="H62" s="30"/>
      <c r="I62" s="29">
        <f t="shared" si="10"/>
        <v>-1.773734217270281</v>
      </c>
      <c r="J62" s="29">
        <f t="shared" si="10"/>
        <v>0.30637709849885653</v>
      </c>
      <c r="K62" s="29">
        <f>(I62^2+J62^2)^0.5</f>
        <v>1.7999999999999985</v>
      </c>
      <c r="L62" s="29">
        <f>IF(C63=C62,"",(D63-D62)/(C63-C62))</f>
        <v>5.7893825157329486</v>
      </c>
      <c r="M62" s="32">
        <f>IF(L62="","",D62-L62*C62)</f>
        <v>-260.31846189878587</v>
      </c>
      <c r="R62" s="12" t="str">
        <f>Design!$H$20</f>
        <v>x</v>
      </c>
      <c r="S62" s="44">
        <f>S61+Design!$D$7*COS(ATAN($X$54))/2</f>
        <v>26.252008243034318</v>
      </c>
      <c r="T62" s="44">
        <f>T61+Design!$D$7*SIN(ATAN($X$54))/2</f>
        <v>70.597608241529187</v>
      </c>
      <c r="U62" s="44">
        <f t="shared" si="8"/>
        <v>26.252008243034318</v>
      </c>
      <c r="V62" s="44">
        <f t="shared" si="9"/>
        <v>70.597608241529187</v>
      </c>
      <c r="W62" s="44"/>
      <c r="X62" s="120"/>
    </row>
    <row r="63" spans="1:24" x14ac:dyDescent="0.2">
      <c r="A63" s="27"/>
      <c r="B63" s="28"/>
      <c r="C63" s="126">
        <f>C20+Design!D17*S15</f>
        <v>49.791624685064669</v>
      </c>
      <c r="D63" s="126">
        <f>D20-Design!D17*S16</f>
        <v>27.944299482864629</v>
      </c>
      <c r="E63" s="28"/>
      <c r="F63" s="31">
        <f>IF(Design!$H$11="x",C63,Design!#REF!)</f>
        <v>49.791624685064669</v>
      </c>
      <c r="G63" s="31">
        <f>IF(Design!$H$11="x",D63,Design!#REF!)</f>
        <v>27.944299482864629</v>
      </c>
      <c r="H63" s="30"/>
      <c r="I63" s="29">
        <f t="shared" si="10"/>
        <v>4.3484631955468558</v>
      </c>
      <c r="J63" s="29">
        <f t="shared" si="10"/>
        <v>25.174916794607192</v>
      </c>
      <c r="K63" s="29">
        <f>(I63^2+J63^2)^0.5</f>
        <v>25.54771159572655</v>
      </c>
      <c r="L63" s="29">
        <f>IF(C64=C63,"",(D64-D63)/(C64-C63))</f>
        <v>-0.17272999275526432</v>
      </c>
      <c r="M63" s="32">
        <f>IF(L63="","",D63-L63*C63)</f>
        <v>36.544806453988691</v>
      </c>
      <c r="R63" s="12" t="str">
        <f>Design!$H$20</f>
        <v>x</v>
      </c>
      <c r="S63" s="44">
        <f>S62+Design!$D$8*SIN(ATAN($X$54))</f>
        <v>31.171251077169089</v>
      </c>
      <c r="T63" s="44">
        <f>T62-Design!$D$8*COS(ATAN($X$54))</f>
        <v>69.251855686705781</v>
      </c>
      <c r="U63" s="44">
        <f t="shared" si="8"/>
        <v>31.171251077169089</v>
      </c>
      <c r="V63" s="44">
        <f t="shared" si="9"/>
        <v>69.251855686705781</v>
      </c>
      <c r="W63" s="44"/>
      <c r="X63" s="120"/>
    </row>
    <row r="64" spans="1:24" x14ac:dyDescent="0.2">
      <c r="A64" s="33"/>
      <c r="B64" s="34"/>
      <c r="C64" s="35">
        <f>C63-Design!D53*Panels!S48</f>
        <v>48.017890467794388</v>
      </c>
      <c r="D64" s="35">
        <f>D63+Design!D53*Panels!S49</f>
        <v>28.250676581363489</v>
      </c>
      <c r="E64" s="34"/>
      <c r="F64" s="36">
        <f>IF(Design!$H$11="x",C64,Design!#REF!)</f>
        <v>48.017890467794388</v>
      </c>
      <c r="G64" s="36">
        <f>IF(Design!$H$11="x",D64,Design!#REF!)</f>
        <v>28.250676581363489</v>
      </c>
      <c r="H64" s="34"/>
      <c r="I64" s="37">
        <f t="shared" si="10"/>
        <v>1.773734217270281</v>
      </c>
      <c r="J64" s="37">
        <f t="shared" si="10"/>
        <v>-0.30637709849886008</v>
      </c>
      <c r="K64" s="37">
        <f>(I64^2+J64^2)^0.5</f>
        <v>1.7999999999999992</v>
      </c>
      <c r="L64" s="35"/>
      <c r="M64" s="127"/>
      <c r="R64" s="12" t="str">
        <f>Design!$H$20</f>
        <v>x</v>
      </c>
      <c r="S64" s="44">
        <f>S60+Design!$D$5*COS(ATAN($X$54))/2</f>
        <v>49.322955316561767</v>
      </c>
      <c r="T64" s="44">
        <f>T60+(Design!$D$5)*SIN(ATAN($X$54))/2</f>
        <v>76.105003372668321</v>
      </c>
      <c r="U64" s="44">
        <f t="shared" si="8"/>
        <v>49.322955316561767</v>
      </c>
      <c r="V64" s="44">
        <f t="shared" si="9"/>
        <v>76.105003372668321</v>
      </c>
      <c r="W64" s="44"/>
      <c r="X64" s="120"/>
    </row>
    <row r="65" spans="1:24" x14ac:dyDescent="0.2">
      <c r="S65" s="44"/>
      <c r="T65" s="120"/>
      <c r="U65" s="44"/>
      <c r="V65" s="44"/>
      <c r="W65" s="44"/>
      <c r="X65" s="120"/>
    </row>
    <row r="66" spans="1:24" x14ac:dyDescent="0.2">
      <c r="A66" s="21" t="s">
        <v>87</v>
      </c>
      <c r="B66" s="22"/>
      <c r="C66" s="23">
        <f>C62</f>
        <v>54.140087880611524</v>
      </c>
      <c r="D66" s="23">
        <f>D62</f>
        <v>53.119216277471821</v>
      </c>
      <c r="E66" s="24"/>
      <c r="F66" s="25">
        <f>IF(Design!$H$12="x",C66,Design!#REF!)</f>
        <v>54.140087880611524</v>
      </c>
      <c r="G66" s="25">
        <f>IF(Design!$H$12="x",D66,Design!#REF!)</f>
        <v>53.119216277471821</v>
      </c>
      <c r="H66" s="24"/>
      <c r="I66" s="23"/>
      <c r="J66" s="23"/>
      <c r="K66" s="23"/>
      <c r="L66" s="23">
        <f>IF(C67=C66,"",(D67-D66)/(C67-C66))</f>
        <v>1.4592159983782662</v>
      </c>
      <c r="M66" s="26">
        <f>IF(L66="","",D66-L66*C66)</f>
        <v>-25.882866111521793</v>
      </c>
      <c r="R66" s="12" t="str">
        <f>Design!$H$20</f>
        <v>x</v>
      </c>
      <c r="S66" s="44">
        <f>S67-(Design!$D$4*COS(ATAN($X$54)))/2</f>
        <v>37.7785093805767</v>
      </c>
      <c r="T66" s="44">
        <f>T67-(Design!$D$4*SIN(ATAN($X$54)))/2</f>
        <v>33.905616315139653</v>
      </c>
      <c r="U66" s="44">
        <f t="shared" ref="U66:U71" si="11">IF(R66="x",S66,0)</f>
        <v>37.7785093805767</v>
      </c>
      <c r="V66" s="44">
        <f t="shared" ref="V66:V71" si="12">IF(R66="x",T66,0)</f>
        <v>33.905616315139653</v>
      </c>
      <c r="W66" s="44"/>
      <c r="X66" s="120"/>
    </row>
    <row r="67" spans="1:24" x14ac:dyDescent="0.2">
      <c r="A67" s="27"/>
      <c r="B67" s="28"/>
      <c r="C67" s="126">
        <f>C56</f>
        <v>63.27661190776417</v>
      </c>
      <c r="D67" s="126">
        <f>D56</f>
        <v>66.451378307460388</v>
      </c>
      <c r="E67" s="28"/>
      <c r="F67" s="31">
        <f>IF(Design!$H$12="x",C67,Design!#REF!)</f>
        <v>63.27661190776417</v>
      </c>
      <c r="G67" s="31">
        <f>IF(Design!$H$12="x",D67,Design!#REF!)</f>
        <v>66.451378307460388</v>
      </c>
      <c r="H67" s="30"/>
      <c r="I67" s="29">
        <f t="shared" ref="I67:J70" si="13">C66-C67</f>
        <v>-9.136524027152646</v>
      </c>
      <c r="J67" s="29">
        <f t="shared" si="13"/>
        <v>-13.332162029988567</v>
      </c>
      <c r="K67" s="29">
        <f>(I67^2+J67^2)^0.5</f>
        <v>16.162382735618113</v>
      </c>
      <c r="L67" s="29">
        <f>IF(C68=C67,"",(D68-D67)/(C68-C67))</f>
        <v>-0.68529950405654716</v>
      </c>
      <c r="M67" s="32">
        <f>IF(L67="","",D67-L67*C67)</f>
        <v>109.81480906622977</v>
      </c>
      <c r="R67" s="12" t="str">
        <f>Design!$H$20</f>
        <v>x</v>
      </c>
      <c r="S67" s="44">
        <f>S60</f>
        <v>43.808008572285473</v>
      </c>
      <c r="T67" s="44">
        <f>T60</f>
        <v>55.945753326900345</v>
      </c>
      <c r="U67" s="44">
        <f t="shared" si="11"/>
        <v>43.808008572285473</v>
      </c>
      <c r="V67" s="44">
        <f t="shared" si="12"/>
        <v>55.945753326900345</v>
      </c>
      <c r="W67" s="120"/>
      <c r="X67" s="120"/>
    </row>
    <row r="68" spans="1:24" x14ac:dyDescent="0.2">
      <c r="A68" s="27"/>
      <c r="B68" s="28"/>
      <c r="C68" s="126">
        <f>C67+Design!D54*J67/$K67</f>
        <v>61.791812788319135</v>
      </c>
      <c r="D68" s="126">
        <f>D67-Design!D54*I67/$K67</f>
        <v>67.468910407639669</v>
      </c>
      <c r="E68" s="28"/>
      <c r="F68" s="31">
        <f>IF(Design!$H$12="x",C68,Design!#REF!)</f>
        <v>61.791812788319135</v>
      </c>
      <c r="G68" s="31">
        <f>IF(Design!$H$12="x",D68,Design!#REF!)</f>
        <v>67.468910407639669</v>
      </c>
      <c r="H68" s="30"/>
      <c r="I68" s="29">
        <f t="shared" si="13"/>
        <v>1.4847991194450358</v>
      </c>
      <c r="J68" s="29">
        <f t="shared" si="13"/>
        <v>-1.017532100179281</v>
      </c>
      <c r="K68" s="29">
        <f>(I68^2+J68^2)^0.5</f>
        <v>1.8000000000000034</v>
      </c>
      <c r="L68" s="29">
        <f>IF(C69=C68,"",(D69-D68)/(C69-C68))</f>
        <v>1.4592159983782662</v>
      </c>
      <c r="M68" s="32">
        <f>IF(L68="","",D68-L68*C68)</f>
        <v>-22.698691381870361</v>
      </c>
      <c r="R68" s="12" t="str">
        <f>Design!$H$20</f>
        <v>x</v>
      </c>
      <c r="S68" s="44">
        <f>S61</f>
        <v>23.745214268363274</v>
      </c>
      <c r="T68" s="44">
        <f>T61</f>
        <v>61.434312766180099</v>
      </c>
      <c r="U68" s="44">
        <f t="shared" si="11"/>
        <v>23.745214268363274</v>
      </c>
      <c r="V68" s="44">
        <f t="shared" si="12"/>
        <v>61.434312766180099</v>
      </c>
      <c r="W68" s="44"/>
      <c r="X68" s="120"/>
    </row>
    <row r="69" spans="1:24" x14ac:dyDescent="0.2">
      <c r="A69" s="27"/>
      <c r="B69" s="28"/>
      <c r="C69" s="126">
        <f>C68+I67</f>
        <v>52.655288761166489</v>
      </c>
      <c r="D69" s="126">
        <f>D68+J67</f>
        <v>54.136748377651102</v>
      </c>
      <c r="E69" s="28"/>
      <c r="F69" s="31">
        <f>IF(Design!$H$12="x",C69,Design!#REF!)</f>
        <v>52.655288761166489</v>
      </c>
      <c r="G69" s="31">
        <f>IF(Design!$H$12="x",D69,Design!#REF!)</f>
        <v>54.136748377651102</v>
      </c>
      <c r="H69" s="30"/>
      <c r="I69" s="29">
        <f t="shared" si="13"/>
        <v>9.136524027152646</v>
      </c>
      <c r="J69" s="29">
        <f t="shared" si="13"/>
        <v>13.332162029988567</v>
      </c>
      <c r="K69" s="29">
        <f>(I69^2+J69^2)^0.5</f>
        <v>16.162382735618113</v>
      </c>
      <c r="L69" s="29">
        <f>IF(C70=C69,"",(D70-D69)/(C70-C69))</f>
        <v>-0.68529950405654716</v>
      </c>
      <c r="M69" s="32">
        <f>IF(L69="","",D69-L69*C69)</f>
        <v>90.221391651632786</v>
      </c>
      <c r="R69" s="12" t="str">
        <f>Design!$H$20</f>
        <v>x</v>
      </c>
      <c r="S69" s="44">
        <f>S68-Design!$D$7*COS(ATAN($X$54))/2</f>
        <v>21.238420293692229</v>
      </c>
      <c r="T69" s="44">
        <f>T68-Design!$D$7*SIN(ATAN($X$54))/2</f>
        <v>52.271017290831018</v>
      </c>
      <c r="U69" s="44">
        <f t="shared" si="11"/>
        <v>21.238420293692229</v>
      </c>
      <c r="V69" s="44">
        <f t="shared" si="12"/>
        <v>52.271017290831018</v>
      </c>
      <c r="W69" s="44"/>
      <c r="X69" s="120"/>
    </row>
    <row r="70" spans="1:24" x14ac:dyDescent="0.2">
      <c r="A70" s="33"/>
      <c r="B70" s="34"/>
      <c r="C70" s="35">
        <f>C66</f>
        <v>54.140087880611524</v>
      </c>
      <c r="D70" s="35">
        <f>D66</f>
        <v>53.119216277471821</v>
      </c>
      <c r="E70" s="34"/>
      <c r="F70" s="36">
        <f>IF(Design!$H$12="x",C70,Design!#REF!)</f>
        <v>54.140087880611524</v>
      </c>
      <c r="G70" s="36">
        <f>IF(Design!$H$12="x",D70,Design!#REF!)</f>
        <v>53.119216277471821</v>
      </c>
      <c r="H70" s="34"/>
      <c r="I70" s="37">
        <f t="shared" si="13"/>
        <v>-1.4847991194450358</v>
      </c>
      <c r="J70" s="37">
        <f t="shared" si="13"/>
        <v>1.017532100179281</v>
      </c>
      <c r="K70" s="37">
        <f>(I70^2+J70^2)^0.5</f>
        <v>1.8000000000000034</v>
      </c>
      <c r="L70" s="34"/>
      <c r="M70" s="38"/>
      <c r="R70" s="12" t="str">
        <f>Design!$H$20</f>
        <v>x</v>
      </c>
      <c r="S70" s="44">
        <f>S69+Design!$D$8*SIN(ATAN($X$54))</f>
        <v>26.157663127827</v>
      </c>
      <c r="T70" s="44">
        <f>T69-Design!$D$8*COS(ATAN($X$54))</f>
        <v>50.92526473600762</v>
      </c>
      <c r="U70" s="44">
        <f t="shared" si="11"/>
        <v>26.157663127827</v>
      </c>
      <c r="V70" s="44">
        <f t="shared" si="12"/>
        <v>50.92526473600762</v>
      </c>
      <c r="W70" s="44"/>
      <c r="X70" s="120"/>
    </row>
    <row r="71" spans="1:24" x14ac:dyDescent="0.2">
      <c r="R71" s="12" t="str">
        <f>Design!$H$20</f>
        <v>x</v>
      </c>
      <c r="S71" s="44">
        <f>S67-Design!$D$5*COS(ATAN($X$54))/2</f>
        <v>38.293061828009179</v>
      </c>
      <c r="T71" s="44">
        <f>T67-(Design!$D$5)*SIN(ATAN($X$54))/2</f>
        <v>35.786503281132369</v>
      </c>
      <c r="U71" s="44">
        <f t="shared" si="11"/>
        <v>38.293061828009179</v>
      </c>
      <c r="V71" s="44">
        <f t="shared" si="12"/>
        <v>35.786503281132369</v>
      </c>
      <c r="W71" s="44"/>
      <c r="X71" s="120"/>
    </row>
    <row r="72" spans="1:24" x14ac:dyDescent="0.2">
      <c r="A72" s="21" t="s">
        <v>36</v>
      </c>
      <c r="B72" s="22"/>
      <c r="C72" s="23">
        <f>C56</f>
        <v>63.27661190776417</v>
      </c>
      <c r="D72" s="23">
        <f>D56</f>
        <v>66.451378307460388</v>
      </c>
      <c r="E72" s="24"/>
      <c r="F72" s="25">
        <f>IF(Design!$H$13="x",C72,Design!#REF!)</f>
        <v>63.27661190776417</v>
      </c>
      <c r="G72" s="25">
        <f>IF(Design!$H$13="x",D72,Design!#REF!)</f>
        <v>66.451378307460388</v>
      </c>
      <c r="H72" s="24"/>
      <c r="I72" s="23"/>
      <c r="J72" s="23"/>
      <c r="K72" s="23"/>
      <c r="L72" s="23">
        <f>IF(C73=C72,"",(D73-D72)/(C73-C72))</f>
        <v>-6.9926811943510359E-2</v>
      </c>
      <c r="M72" s="26">
        <f>IF(L72="","",D72-L72*C72)</f>
        <v>70.876110048757099</v>
      </c>
      <c r="S72" s="44"/>
      <c r="T72" s="120"/>
      <c r="U72" s="44"/>
      <c r="V72" s="44"/>
      <c r="W72" s="44"/>
      <c r="X72" s="120"/>
    </row>
    <row r="73" spans="1:24" x14ac:dyDescent="0.2">
      <c r="A73" s="27"/>
      <c r="B73" s="28"/>
      <c r="C73" s="126">
        <f>C72+Design!F55*Panels!S6</f>
        <v>84.225456963220481</v>
      </c>
      <c r="D73" s="126">
        <f>D72-Design!F55*Panels!S7</f>
        <v>64.986492358833758</v>
      </c>
      <c r="E73" s="28"/>
      <c r="F73" s="31">
        <f>IF(Design!$H$13="x",C73,Design!#REF!)</f>
        <v>84.225456963220481</v>
      </c>
      <c r="G73" s="31">
        <f>IF(Design!$H$13="x",D73,Design!#REF!)</f>
        <v>64.986492358833758</v>
      </c>
      <c r="H73" s="30"/>
      <c r="I73" s="29">
        <f t="shared" ref="I73:J76" si="14">C72-C73</f>
        <v>-20.94884505545631</v>
      </c>
      <c r="J73" s="29">
        <f t="shared" si="14"/>
        <v>1.4648859486266304</v>
      </c>
      <c r="K73" s="29">
        <f>(I73^2+J73^2)^0.5</f>
        <v>21</v>
      </c>
      <c r="L73" s="29">
        <f>IF(C74=C73,"",(D74-D73)/(C74-C73))</f>
        <v>14.300666256712473</v>
      </c>
      <c r="M73" s="32">
        <f>IF(L73="","",D73-L73*C73)</f>
        <v>-1139.4936579912819</v>
      </c>
      <c r="R73" s="12" t="str">
        <f>Design!$H$20</f>
        <v>x</v>
      </c>
      <c r="S73" s="44">
        <f>S70</f>
        <v>26.157663127827</v>
      </c>
      <c r="T73" s="44">
        <f>T70</f>
        <v>50.92526473600762</v>
      </c>
      <c r="U73" s="44">
        <f>IF(R73="x",S73,0)</f>
        <v>26.157663127827</v>
      </c>
      <c r="V73" s="44">
        <f>IF(R73="x",T73,0)</f>
        <v>50.92526473600762</v>
      </c>
      <c r="W73" s="44"/>
      <c r="X73" s="120"/>
    </row>
    <row r="74" spans="1:24" x14ac:dyDescent="0.2">
      <c r="A74" s="27"/>
      <c r="B74" s="28"/>
      <c r="C74" s="126">
        <f>C73-Design!D55*Panels!S7</f>
        <v>84.09989531048106</v>
      </c>
      <c r="D74" s="126">
        <f>D73-Design!D55*Panels!S6</f>
        <v>63.190877068366071</v>
      </c>
      <c r="E74" s="28"/>
      <c r="F74" s="31">
        <f>IF(Design!$H$13="x",C74,Design!#REF!)</f>
        <v>84.09989531048106</v>
      </c>
      <c r="G74" s="31">
        <f>IF(Design!$H$13="x",D74,Design!#REF!)</f>
        <v>63.190877068366071</v>
      </c>
      <c r="H74" s="30"/>
      <c r="I74" s="29">
        <f t="shared" si="14"/>
        <v>0.12556165273942099</v>
      </c>
      <c r="J74" s="29">
        <f t="shared" si="14"/>
        <v>1.795615290467687</v>
      </c>
      <c r="K74" s="29">
        <f>(I74^2+J74^2)^0.5</f>
        <v>1.8000000000000029</v>
      </c>
      <c r="L74" s="29">
        <f>IF(C75=C74,"",(D75-D74)/(C75-C74))</f>
        <v>-6.9926811943510733E-2</v>
      </c>
      <c r="M74" s="32">
        <f>IF(L74="","",D74-L74*C74)</f>
        <v>69.071714632211012</v>
      </c>
      <c r="R74" s="12" t="str">
        <f>Design!$H$20</f>
        <v>x</v>
      </c>
      <c r="S74" s="44">
        <f>S63</f>
        <v>31.171251077169089</v>
      </c>
      <c r="T74" s="44">
        <f>T63</f>
        <v>69.251855686705781</v>
      </c>
      <c r="U74" s="44">
        <f>IF(R74="x",S74,0)</f>
        <v>31.171251077169089</v>
      </c>
      <c r="V74" s="44">
        <f>IF(R74="x",T74,0)</f>
        <v>69.251855686705781</v>
      </c>
      <c r="W74" s="120"/>
      <c r="X74" s="120"/>
    </row>
    <row r="75" spans="1:24" x14ac:dyDescent="0.2">
      <c r="A75" s="27"/>
      <c r="B75" s="28"/>
      <c r="C75" s="126">
        <f>C74-Design!F55*Panels!S6</f>
        <v>63.151050255024757</v>
      </c>
      <c r="D75" s="126">
        <f>D74+Design!F55*Panels!S7</f>
        <v>64.655763016992708</v>
      </c>
      <c r="E75" s="28"/>
      <c r="F75" s="31">
        <f>IF(Design!$H$13="x",C75,Design!#REF!)</f>
        <v>63.151050255024757</v>
      </c>
      <c r="G75" s="31">
        <f>IF(Design!$H$13="x",D75,Design!#REF!)</f>
        <v>64.655763016992708</v>
      </c>
      <c r="H75" s="30"/>
      <c r="I75" s="29">
        <f t="shared" si="14"/>
        <v>20.948845055456303</v>
      </c>
      <c r="J75" s="29">
        <f t="shared" si="14"/>
        <v>-1.4648859486266375</v>
      </c>
      <c r="K75" s="29">
        <f>(I75^2+J75^2)^0.5</f>
        <v>20.999999999999993</v>
      </c>
      <c r="L75" s="29">
        <f>IF(C76=C75,"",(D76-D75)/(C76-C75))</f>
        <v>14.300666256713225</v>
      </c>
      <c r="M75" s="32">
        <f>IF(L75="","",D75-L75*C75)</f>
        <v>-838.44633044104091</v>
      </c>
      <c r="W75" s="120"/>
      <c r="X75" s="120"/>
    </row>
    <row r="76" spans="1:24" x14ac:dyDescent="0.2">
      <c r="A76" s="33"/>
      <c r="B76" s="34"/>
      <c r="C76" s="35">
        <f>C72</f>
        <v>63.27661190776417</v>
      </c>
      <c r="D76" s="35">
        <f>D72</f>
        <v>66.451378307460388</v>
      </c>
      <c r="E76" s="34"/>
      <c r="F76" s="36">
        <f>IF(Design!$H$13="x",C76,Design!#REF!)</f>
        <v>63.27661190776417</v>
      </c>
      <c r="G76" s="36">
        <f>IF(Design!$H$13="x",D76,Design!#REF!)</f>
        <v>66.451378307460388</v>
      </c>
      <c r="H76" s="34"/>
      <c r="I76" s="37">
        <f t="shared" si="14"/>
        <v>-0.12556165273941389</v>
      </c>
      <c r="J76" s="37">
        <f t="shared" si="14"/>
        <v>-1.7956152904676799</v>
      </c>
      <c r="K76" s="37">
        <f>(I76^2+J76^2)^0.5</f>
        <v>1.7999999999999954</v>
      </c>
      <c r="L76" s="35"/>
      <c r="M76" s="127"/>
      <c r="W76" s="120"/>
      <c r="X76" s="120"/>
    </row>
    <row r="77" spans="1:24" x14ac:dyDescent="0.2">
      <c r="W77" s="120"/>
      <c r="X77" s="120"/>
    </row>
    <row r="78" spans="1:24" x14ac:dyDescent="0.2">
      <c r="A78" s="21"/>
      <c r="B78" s="22"/>
      <c r="C78" s="23"/>
      <c r="D78" s="23"/>
      <c r="E78" s="24"/>
      <c r="F78" s="25"/>
      <c r="G78" s="25"/>
      <c r="H78" s="24"/>
      <c r="I78" s="23"/>
      <c r="J78" s="23"/>
      <c r="K78" s="23"/>
      <c r="L78" s="23"/>
      <c r="M78" s="26"/>
      <c r="W78" s="120"/>
      <c r="X78" s="120"/>
    </row>
    <row r="79" spans="1:24" x14ac:dyDescent="0.2">
      <c r="A79" s="27"/>
      <c r="B79" s="28"/>
      <c r="C79" s="126"/>
      <c r="D79" s="126"/>
      <c r="E79" s="28"/>
      <c r="F79" s="31"/>
      <c r="G79" s="31"/>
      <c r="H79" s="30"/>
      <c r="I79" s="29"/>
      <c r="J79" s="29"/>
      <c r="K79" s="29"/>
      <c r="L79" s="29"/>
      <c r="M79" s="32"/>
      <c r="W79" s="120"/>
      <c r="X79" s="120"/>
    </row>
    <row r="80" spans="1:24" x14ac:dyDescent="0.2">
      <c r="A80" s="27"/>
      <c r="B80" s="28"/>
      <c r="C80" s="126"/>
      <c r="D80" s="126"/>
      <c r="E80" s="28"/>
      <c r="F80" s="31"/>
      <c r="G80" s="31"/>
      <c r="H80" s="30"/>
      <c r="I80" s="29"/>
      <c r="J80" s="29"/>
      <c r="K80" s="29"/>
      <c r="L80" s="29"/>
      <c r="M80" s="32"/>
    </row>
    <row r="81" spans="1:21" x14ac:dyDescent="0.2">
      <c r="A81" s="27"/>
      <c r="B81" s="28"/>
      <c r="C81" s="126"/>
      <c r="D81" s="126"/>
      <c r="E81" s="28"/>
      <c r="F81" s="31"/>
      <c r="G81" s="31"/>
      <c r="H81" s="30"/>
      <c r="I81" s="29"/>
      <c r="J81" s="29"/>
      <c r="K81" s="29"/>
      <c r="L81" s="29"/>
      <c r="M81" s="32"/>
    </row>
    <row r="82" spans="1:21" x14ac:dyDescent="0.2">
      <c r="A82" s="33"/>
      <c r="B82" s="34"/>
      <c r="C82" s="35"/>
      <c r="D82" s="35"/>
      <c r="E82" s="34"/>
      <c r="F82" s="36"/>
      <c r="G82" s="36"/>
      <c r="H82" s="34"/>
      <c r="I82" s="37"/>
      <c r="J82" s="37"/>
      <c r="K82" s="37"/>
      <c r="L82" s="34"/>
      <c r="M82" s="38"/>
      <c r="Q82" s="12" t="s">
        <v>68</v>
      </c>
    </row>
    <row r="83" spans="1:21" x14ac:dyDescent="0.2">
      <c r="S83" s="45">
        <f>MIN(C6:D40)-5</f>
        <v>-5</v>
      </c>
      <c r="T83" s="45">
        <f>S83</f>
        <v>-5</v>
      </c>
    </row>
    <row r="84" spans="1:21" x14ac:dyDescent="0.2">
      <c r="A84" s="21" t="s">
        <v>37</v>
      </c>
      <c r="B84" s="22"/>
      <c r="C84" s="23">
        <f>C7</f>
        <v>99.8</v>
      </c>
      <c r="D84" s="23">
        <f>Design!D49+Design!G56</f>
        <v>45.4</v>
      </c>
      <c r="E84" s="24"/>
      <c r="F84" s="25">
        <f>IF(Design!$H$14="x",C84,Design!#REF!)</f>
        <v>99.8</v>
      </c>
      <c r="G84" s="25">
        <f>IF(Design!$H$14="x",D84,Design!#REF!)</f>
        <v>45.4</v>
      </c>
      <c r="H84" s="24"/>
      <c r="I84" s="23"/>
      <c r="J84" s="23"/>
      <c r="K84" s="23"/>
      <c r="L84" s="23">
        <f>IF(C85=C84,"",(D85-D84)/(C85-C84))</f>
        <v>0</v>
      </c>
      <c r="M84" s="26">
        <f>IF(L84="","",D84-L84*C84)</f>
        <v>45.4</v>
      </c>
      <c r="S84" s="45">
        <f>S83</f>
        <v>-5</v>
      </c>
      <c r="T84" s="45">
        <f>MAX(C6:D40)</f>
        <v>101.6</v>
      </c>
    </row>
    <row r="85" spans="1:21" x14ac:dyDescent="0.2">
      <c r="A85" s="27"/>
      <c r="B85" s="28"/>
      <c r="C85" s="29">
        <f>C84-Design!F56</f>
        <v>71.3</v>
      </c>
      <c r="D85" s="29">
        <f>D84</f>
        <v>45.4</v>
      </c>
      <c r="E85" s="30"/>
      <c r="F85" s="31">
        <f>IF(Design!$H$14="x",C85,Design!#REF!)</f>
        <v>71.3</v>
      </c>
      <c r="G85" s="31">
        <f>IF(Design!$H$14="x",D85,Design!#REF!)</f>
        <v>45.4</v>
      </c>
      <c r="H85" s="30"/>
      <c r="I85" s="29">
        <f t="shared" ref="I85:J88" si="15">C84-C85</f>
        <v>28.5</v>
      </c>
      <c r="J85" s="29">
        <f t="shared" si="15"/>
        <v>0</v>
      </c>
      <c r="K85" s="29">
        <f>(I85^2+J85^2)^0.5</f>
        <v>28.5</v>
      </c>
      <c r="L85" s="29" t="str">
        <f>IF(C86=C85,"",(D86-D85)/(C86-C85))</f>
        <v/>
      </c>
      <c r="M85" s="32" t="str">
        <f>IF(L85="","",D85-L85*C85)</f>
        <v/>
      </c>
      <c r="O85" s="12" t="s">
        <v>3</v>
      </c>
      <c r="P85" s="128">
        <f>(-2/(L20+L54))</f>
        <v>-0.30717549192880689</v>
      </c>
      <c r="Q85" s="128">
        <f>2/L72</f>
        <v>-28.601332513423877</v>
      </c>
    </row>
    <row r="86" spans="1:21" x14ac:dyDescent="0.2">
      <c r="A86" s="27"/>
      <c r="B86" s="28"/>
      <c r="C86" s="29">
        <f>C85</f>
        <v>71.3</v>
      </c>
      <c r="D86" s="29">
        <f>D85+Design!D56</f>
        <v>47.199999999999996</v>
      </c>
      <c r="E86" s="30"/>
      <c r="F86" s="31">
        <f>IF(Design!$H$14="x",C86,Design!#REF!)</f>
        <v>71.3</v>
      </c>
      <c r="G86" s="31">
        <f>IF(Design!$H$14="x",D86,Design!#REF!)</f>
        <v>47.199999999999996</v>
      </c>
      <c r="H86" s="30"/>
      <c r="I86" s="29">
        <f t="shared" si="15"/>
        <v>0</v>
      </c>
      <c r="J86" s="29">
        <f t="shared" si="15"/>
        <v>-1.7999999999999972</v>
      </c>
      <c r="K86" s="29">
        <f>(I86^2+J86^2)^0.5</f>
        <v>1.7999999999999972</v>
      </c>
      <c r="L86" s="29">
        <f>IF(C87=C86,"",(D87-D86)/(C87-C86))</f>
        <v>0</v>
      </c>
      <c r="M86" s="32">
        <f>IF(L86="","",D86-L86*C86)</f>
        <v>47.199999999999996</v>
      </c>
      <c r="O86" s="12" t="s">
        <v>4</v>
      </c>
      <c r="P86" s="45">
        <f>Path!D11-Path!C11*(-2/(L20+L54))</f>
        <v>69.33394886805587</v>
      </c>
      <c r="Q86" s="45">
        <f>Path!D54-Path!C54*Q85</f>
        <v>2086.4750082071223</v>
      </c>
      <c r="S86" s="45">
        <f>S83</f>
        <v>-5</v>
      </c>
      <c r="T86" s="45">
        <f>S86</f>
        <v>-5</v>
      </c>
    </row>
    <row r="87" spans="1:21" x14ac:dyDescent="0.2">
      <c r="A87" s="27"/>
      <c r="B87" s="28"/>
      <c r="C87" s="29">
        <f>C84</f>
        <v>99.8</v>
      </c>
      <c r="D87" s="29">
        <f>D86</f>
        <v>47.199999999999996</v>
      </c>
      <c r="E87" s="30"/>
      <c r="F87" s="31">
        <f>IF(Design!$H$14="x",C87,Design!#REF!)</f>
        <v>99.8</v>
      </c>
      <c r="G87" s="31">
        <f>IF(Design!$H$14="x",D87,Design!#REF!)</f>
        <v>47.199999999999996</v>
      </c>
      <c r="H87" s="30"/>
      <c r="I87" s="29">
        <f t="shared" si="15"/>
        <v>-28.5</v>
      </c>
      <c r="J87" s="29">
        <f t="shared" si="15"/>
        <v>0</v>
      </c>
      <c r="K87" s="29">
        <f>(I87^2+J87^2)^0.5</f>
        <v>28.5</v>
      </c>
      <c r="L87" s="29" t="str">
        <f>IF(C88=C87,"",(D88-D87)/(C88-C87))</f>
        <v/>
      </c>
      <c r="M87" s="32" t="str">
        <f>IF(L87="","",D87-L87*C87)</f>
        <v/>
      </c>
      <c r="O87" s="12" t="s">
        <v>5</v>
      </c>
      <c r="P87" s="45">
        <f>L20</f>
        <v>3.6553843546522593</v>
      </c>
      <c r="Q87" s="45">
        <f>L72</f>
        <v>-6.9926811943510359E-2</v>
      </c>
      <c r="S87" s="45">
        <f>T84</f>
        <v>101.6</v>
      </c>
      <c r="T87" s="45">
        <f>T86</f>
        <v>-5</v>
      </c>
    </row>
    <row r="88" spans="1:21" x14ac:dyDescent="0.2">
      <c r="A88" s="33"/>
      <c r="B88" s="34"/>
      <c r="C88" s="35">
        <f>C84</f>
        <v>99.8</v>
      </c>
      <c r="D88" s="35">
        <f>D84</f>
        <v>45.4</v>
      </c>
      <c r="E88" s="34"/>
      <c r="F88" s="36">
        <f>IF(Design!$H$14="x",C88,Design!#REF!)</f>
        <v>99.8</v>
      </c>
      <c r="G88" s="36">
        <f>IF(Design!$H$14="x",D88,Design!#REF!)</f>
        <v>45.4</v>
      </c>
      <c r="H88" s="34"/>
      <c r="I88" s="37">
        <f t="shared" si="15"/>
        <v>0</v>
      </c>
      <c r="J88" s="37">
        <f t="shared" si="15"/>
        <v>1.7999999999999972</v>
      </c>
      <c r="K88" s="37">
        <f>(I88^2+J88^2)^0.5</f>
        <v>1.7999999999999972</v>
      </c>
      <c r="L88" s="35"/>
      <c r="M88" s="127"/>
      <c r="O88" s="12" t="s">
        <v>6</v>
      </c>
      <c r="P88" s="45">
        <f>M20</f>
        <v>-113.1846249295363</v>
      </c>
      <c r="Q88" s="45">
        <f>M74</f>
        <v>69.071714632211012</v>
      </c>
    </row>
    <row r="89" spans="1:21" x14ac:dyDescent="0.2">
      <c r="O89" s="12" t="s">
        <v>7</v>
      </c>
      <c r="P89" s="45">
        <f>((Path!D5-Path!C5*(-2/(L20+L54)))-M20)/(L20-(-2/(L20+L54)))</f>
        <v>39.36735287885999</v>
      </c>
      <c r="Q89" s="45">
        <f>(Q86-Q88)/(Q87-Q85)</f>
        <v>70.708163301965783</v>
      </c>
    </row>
    <row r="90" spans="1:21" x14ac:dyDescent="0.2">
      <c r="A90" s="21"/>
      <c r="B90" s="22"/>
      <c r="C90" s="23"/>
      <c r="D90" s="23"/>
      <c r="E90" s="24"/>
      <c r="F90" s="25"/>
      <c r="G90" s="25"/>
      <c r="H90" s="24"/>
      <c r="I90" s="23"/>
      <c r="J90" s="23"/>
      <c r="K90" s="23"/>
      <c r="L90" s="23"/>
      <c r="M90" s="26"/>
      <c r="O90" s="12" t="s">
        <v>8</v>
      </c>
      <c r="P90" s="45">
        <f>(-2/(L20+L54))*((Path!D5-Path!C5*(-2/(L20+L54)))-M20)/(L20-(-2/(L20+L54)))+Path!D5-Path!C5*(-2/(L20+L54))</f>
        <v>30.718180867923071</v>
      </c>
      <c r="Q90" s="45">
        <f>Q89*Q87+Q88</f>
        <v>64.127318194123433</v>
      </c>
    </row>
    <row r="91" spans="1:21" x14ac:dyDescent="0.2">
      <c r="A91" s="27"/>
      <c r="B91" s="28"/>
      <c r="C91" s="29"/>
      <c r="D91" s="29"/>
      <c r="E91" s="30"/>
      <c r="F91" s="31"/>
      <c r="G91" s="31"/>
      <c r="H91" s="30"/>
      <c r="I91" s="29"/>
      <c r="J91" s="29"/>
      <c r="K91" s="29"/>
      <c r="L91" s="29"/>
      <c r="M91" s="32"/>
      <c r="S91" s="12" t="s">
        <v>14</v>
      </c>
      <c r="T91" s="12">
        <f>Design!E46</f>
        <v>53.6</v>
      </c>
    </row>
    <row r="92" spans="1:21" x14ac:dyDescent="0.2">
      <c r="A92" s="27"/>
      <c r="B92" s="28"/>
      <c r="C92" s="29"/>
      <c r="D92" s="29"/>
      <c r="E92" s="30"/>
      <c r="F92" s="31"/>
      <c r="G92" s="31"/>
      <c r="H92" s="30"/>
      <c r="I92" s="29"/>
      <c r="J92" s="29"/>
      <c r="K92" s="29"/>
      <c r="L92" s="29"/>
      <c r="M92" s="32"/>
      <c r="U92" s="12" t="s">
        <v>79</v>
      </c>
    </row>
    <row r="93" spans="1:21" x14ac:dyDescent="0.2">
      <c r="A93" s="27"/>
      <c r="B93" s="28"/>
      <c r="C93" s="29"/>
      <c r="D93" s="29"/>
      <c r="E93" s="30"/>
      <c r="F93" s="31"/>
      <c r="G93" s="31"/>
      <c r="H93" s="30"/>
      <c r="I93" s="29"/>
      <c r="J93" s="29"/>
      <c r="K93" s="29"/>
      <c r="L93" s="29"/>
      <c r="M93" s="32"/>
      <c r="S93" s="12" t="s">
        <v>75</v>
      </c>
      <c r="T93" s="129">
        <f>Path!O7</f>
        <v>492.62354931217823</v>
      </c>
      <c r="U93" s="45">
        <f>Path!N7</f>
        <v>0</v>
      </c>
    </row>
    <row r="94" spans="1:21" x14ac:dyDescent="0.2">
      <c r="A94" s="33"/>
      <c r="B94" s="34"/>
      <c r="C94" s="35"/>
      <c r="D94" s="35"/>
      <c r="E94" s="34"/>
      <c r="F94" s="36"/>
      <c r="G94" s="36"/>
      <c r="H94" s="34"/>
      <c r="I94" s="37"/>
      <c r="J94" s="37"/>
      <c r="K94" s="37"/>
      <c r="L94" s="34"/>
      <c r="M94" s="38"/>
      <c r="S94" s="12" t="s">
        <v>76</v>
      </c>
      <c r="T94" s="129">
        <f>IF(Design!$D$19="x",Path!O70,Path!O106)</f>
        <v>1360.5058737080005</v>
      </c>
      <c r="U94" s="45">
        <f>IF(Design!$D$19="x",Path!N70,Path!N106)</f>
        <v>236.79736305904493</v>
      </c>
    </row>
    <row r="95" spans="1:21" x14ac:dyDescent="0.2">
      <c r="C95" s="45"/>
      <c r="D95" s="45"/>
      <c r="S95" s="12" t="s">
        <v>77</v>
      </c>
      <c r="T95" s="129">
        <f>IF(Design!$D$19="x",Path!O130,Path!O106)</f>
        <v>1360.5058737080005</v>
      </c>
      <c r="U95" s="45">
        <f>IF(Design!$D$19="x",Path!N130,Path!N106)</f>
        <v>236.79736305904493</v>
      </c>
    </row>
    <row r="233" ht="10.5" customHeight="1" x14ac:dyDescent="0.2"/>
    <row r="234" ht="10.5" customHeight="1" x14ac:dyDescent="0.2"/>
    <row r="235" ht="10.5" customHeight="1" x14ac:dyDescent="0.2"/>
    <row r="236" ht="10.5" customHeight="1" x14ac:dyDescent="0.2"/>
    <row r="237" ht="10.5" customHeight="1" x14ac:dyDescent="0.2"/>
    <row r="238" ht="10.5" customHeight="1" x14ac:dyDescent="0.2"/>
    <row r="239" ht="10.5" customHeight="1" x14ac:dyDescent="0.2"/>
    <row r="240" ht="10.5" customHeight="1" x14ac:dyDescent="0.2"/>
    <row r="241" ht="10.5" customHeight="1" x14ac:dyDescent="0.2"/>
    <row r="242" ht="10.5" customHeight="1" x14ac:dyDescent="0.2"/>
    <row r="243" ht="10.5" customHeight="1" x14ac:dyDescent="0.2"/>
    <row r="244" ht="10.5" customHeight="1" x14ac:dyDescent="0.2"/>
    <row r="245" ht="10.5" customHeight="1" x14ac:dyDescent="0.2"/>
    <row r="246" ht="10.5" customHeight="1" x14ac:dyDescent="0.2"/>
    <row r="247" ht="10.5" customHeight="1" x14ac:dyDescent="0.2"/>
    <row r="248" ht="10.5" customHeight="1" x14ac:dyDescent="0.2"/>
    <row r="249" ht="10.5" customHeight="1" x14ac:dyDescent="0.2"/>
    <row r="250" ht="10.5" customHeight="1" x14ac:dyDescent="0.2"/>
    <row r="251" ht="10.5" customHeight="1" x14ac:dyDescent="0.2"/>
    <row r="252" ht="10.5" customHeight="1" x14ac:dyDescent="0.2"/>
    <row r="253" ht="10.5" customHeight="1" x14ac:dyDescent="0.2"/>
    <row r="254" ht="10.5" customHeight="1" x14ac:dyDescent="0.2"/>
    <row r="255" ht="10.5" customHeight="1" x14ac:dyDescent="0.2"/>
    <row r="256" ht="10.5" customHeight="1" x14ac:dyDescent="0.2"/>
    <row r="257" ht="10.5" customHeight="1" x14ac:dyDescent="0.2"/>
    <row r="258" ht="10.5" customHeight="1" x14ac:dyDescent="0.2"/>
    <row r="259" ht="10.5" customHeight="1" x14ac:dyDescent="0.2"/>
    <row r="260" ht="10.5" customHeight="1" x14ac:dyDescent="0.2"/>
    <row r="261" ht="10.5" customHeight="1" x14ac:dyDescent="0.2"/>
    <row r="262" ht="10.5" customHeight="1" x14ac:dyDescent="0.2"/>
    <row r="263" ht="10.5" customHeight="1" x14ac:dyDescent="0.2"/>
    <row r="264" ht="10.5" customHeight="1" x14ac:dyDescent="0.2"/>
    <row r="265" ht="10.5" customHeight="1" x14ac:dyDescent="0.2"/>
    <row r="266" ht="10.5" customHeight="1" x14ac:dyDescent="0.2"/>
    <row r="267" ht="10.5" customHeight="1" x14ac:dyDescent="0.2"/>
    <row r="268" ht="10.5" customHeight="1" x14ac:dyDescent="0.2"/>
    <row r="269" ht="10.5" customHeight="1" x14ac:dyDescent="0.2"/>
    <row r="270" ht="10.5" customHeight="1" x14ac:dyDescent="0.2"/>
    <row r="271" ht="10.5" customHeight="1" x14ac:dyDescent="0.2"/>
    <row r="272" ht="10.5" customHeight="1" x14ac:dyDescent="0.2"/>
    <row r="273" ht="10.5" customHeight="1" x14ac:dyDescent="0.2"/>
    <row r="274" ht="10.5" customHeight="1" x14ac:dyDescent="0.2"/>
  </sheetData>
  <sheetProtection sheet="1"/>
  <protectedRanges>
    <protectedRange sqref="R2" name="Range2"/>
  </protectedRange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160"/>
  <sheetViews>
    <sheetView topLeftCell="A67" workbookViewId="0">
      <selection activeCell="AB10" sqref="AB10"/>
    </sheetView>
  </sheetViews>
  <sheetFormatPr defaultRowHeight="12.75" x14ac:dyDescent="0.2"/>
  <cols>
    <col min="26" max="26" width="15" customWidth="1"/>
  </cols>
  <sheetData>
    <row r="1" spans="1:35" s="12" customFormat="1" ht="11.25" x14ac:dyDescent="0.2">
      <c r="A1" s="9" t="s">
        <v>43</v>
      </c>
      <c r="C1" s="17" t="s">
        <v>7</v>
      </c>
      <c r="D1" s="17" t="s">
        <v>8</v>
      </c>
      <c r="F1" s="17" t="s">
        <v>7</v>
      </c>
      <c r="G1" s="17" t="s">
        <v>8</v>
      </c>
      <c r="I1" s="17" t="s">
        <v>14</v>
      </c>
      <c r="J1" s="17" t="s">
        <v>7</v>
      </c>
      <c r="K1" s="17" t="s">
        <v>8</v>
      </c>
      <c r="L1" s="9" t="s">
        <v>44</v>
      </c>
      <c r="M1" s="17" t="s">
        <v>14</v>
      </c>
      <c r="N1" s="9" t="s">
        <v>1</v>
      </c>
      <c r="O1" s="9" t="s">
        <v>49</v>
      </c>
    </row>
    <row r="2" spans="1:35" s="12" customFormat="1" ht="11.25" x14ac:dyDescent="0.2">
      <c r="C2" s="130">
        <f>Path!AG10</f>
        <v>47.986769817005609</v>
      </c>
      <c r="D2" s="131">
        <f>Path!AH10</f>
        <v>28.070507229808698</v>
      </c>
      <c r="E2" s="132"/>
      <c r="F2" s="131">
        <f>IF(Design!$H$19="x",C2,0)</f>
        <v>0</v>
      </c>
      <c r="G2" s="131">
        <f>IF(Design!$H$19="x",D2,0)</f>
        <v>0</v>
      </c>
      <c r="H2" s="131">
        <f>SUM(C2:C3)/2</f>
        <v>43.402594974606103</v>
      </c>
      <c r="I2" s="131">
        <f>SUM(D2:D3)/2</f>
        <v>28.391063961929355</v>
      </c>
      <c r="J2" s="131"/>
      <c r="K2" s="131"/>
      <c r="L2" s="132"/>
      <c r="M2" s="131" t="str">
        <f t="shared" ref="M2:O3" si="0">M1</f>
        <v>d</v>
      </c>
      <c r="N2" s="131" t="str">
        <f t="shared" si="0"/>
        <v>L</v>
      </c>
      <c r="O2" s="142" t="str">
        <f t="shared" si="0"/>
        <v>S</v>
      </c>
      <c r="P2" s="45"/>
      <c r="U2" s="45"/>
      <c r="Z2" s="12" t="s">
        <v>89</v>
      </c>
    </row>
    <row r="3" spans="1:35" s="12" customFormat="1" ht="11.25" x14ac:dyDescent="0.2">
      <c r="B3" s="39">
        <v>1</v>
      </c>
      <c r="C3" s="133">
        <f>Panels!C20</f>
        <v>38.818420132206604</v>
      </c>
      <c r="D3" s="134">
        <f>Panels!D20</f>
        <v>28.711620694050008</v>
      </c>
      <c r="E3" s="135"/>
      <c r="F3" s="134">
        <f>IF(Design!$H$19="x",C3,0)</f>
        <v>0</v>
      </c>
      <c r="G3" s="134">
        <f>IF(Design!$H$19="x",D3,0)</f>
        <v>0</v>
      </c>
      <c r="H3" s="134"/>
      <c r="I3" s="134"/>
      <c r="J3" s="134"/>
      <c r="K3" s="134"/>
      <c r="L3" s="135"/>
      <c r="M3" s="134" t="str">
        <f t="shared" si="0"/>
        <v>d</v>
      </c>
      <c r="N3" s="134" t="str">
        <f t="shared" si="0"/>
        <v>L</v>
      </c>
      <c r="O3" s="140" t="str">
        <f t="shared" si="0"/>
        <v>S</v>
      </c>
      <c r="U3" s="45"/>
    </row>
    <row r="4" spans="1:35" s="12" customFormat="1" ht="11.25" x14ac:dyDescent="0.2">
      <c r="B4" s="9"/>
      <c r="C4" s="136"/>
      <c r="D4" s="137"/>
      <c r="E4" s="137"/>
      <c r="F4" s="138"/>
      <c r="G4" s="134"/>
      <c r="H4" s="134"/>
      <c r="I4" s="134"/>
      <c r="J4" s="134"/>
      <c r="K4" s="134"/>
      <c r="L4" s="139"/>
      <c r="M4" s="134">
        <f>((H2-Panels!H94)^2+(I2-Panels!I94)^2)^0.5</f>
        <v>51.863645874736449</v>
      </c>
      <c r="N4" s="134">
        <v>0</v>
      </c>
      <c r="O4" s="140">
        <f>((C2-C3)^2+(D2-D3)^2)^0.5*Panels!$T$91</f>
        <v>492.62354931217823</v>
      </c>
      <c r="P4" s="129"/>
      <c r="Q4" s="129"/>
      <c r="R4" s="45"/>
      <c r="S4" s="129"/>
      <c r="T4" s="129"/>
      <c r="U4" s="45"/>
      <c r="AA4" s="17" t="s">
        <v>91</v>
      </c>
      <c r="AB4" s="17" t="s">
        <v>92</v>
      </c>
      <c r="AC4" s="17" t="s">
        <v>93</v>
      </c>
      <c r="AD4" s="17" t="s">
        <v>94</v>
      </c>
      <c r="AE4" s="17" t="s">
        <v>95</v>
      </c>
      <c r="AF4" s="17" t="s">
        <v>96</v>
      </c>
      <c r="AG4" s="17" t="s">
        <v>7</v>
      </c>
      <c r="AH4" s="17" t="s">
        <v>8</v>
      </c>
      <c r="AI4" s="120" t="s">
        <v>22</v>
      </c>
    </row>
    <row r="5" spans="1:35" s="12" customFormat="1" ht="11.25" x14ac:dyDescent="0.2">
      <c r="B5" s="9"/>
      <c r="C5" s="130">
        <f>C2</f>
        <v>47.986769817005609</v>
      </c>
      <c r="D5" s="131">
        <f>D2</f>
        <v>28.070507229808698</v>
      </c>
      <c r="E5" s="132"/>
      <c r="F5" s="131">
        <f>IF(Design!$H$19="x",C5,0)</f>
        <v>0</v>
      </c>
      <c r="G5" s="131">
        <f>IF(Design!$H$19="x",D5,0)</f>
        <v>0</v>
      </c>
      <c r="H5" s="131">
        <f>SUM(C5:C6)/2</f>
        <v>43.402594974606103</v>
      </c>
      <c r="I5" s="131">
        <f>SUM(D5:D6)/2</f>
        <v>28.391063961929355</v>
      </c>
      <c r="J5" s="131">
        <f>IF(Design!$H$18="x",H5,0)</f>
        <v>43.402594974606103</v>
      </c>
      <c r="K5" s="131">
        <f>IF(Design!$H$18="x",I5,0)</f>
        <v>28.391063961929355</v>
      </c>
      <c r="L5" s="141"/>
      <c r="M5" s="131">
        <f t="shared" ref="M5:O6" si="1">M4</f>
        <v>51.863645874736449</v>
      </c>
      <c r="N5" s="131">
        <f t="shared" si="1"/>
        <v>0</v>
      </c>
      <c r="O5" s="142">
        <f t="shared" si="1"/>
        <v>492.62354931217823</v>
      </c>
      <c r="P5" s="129">
        <f t="shared" ref="P5:P36" si="2">O5/2</f>
        <v>246.31177465608911</v>
      </c>
      <c r="Q5" s="129">
        <f t="shared" ref="Q5:Q36" si="3">-P5</f>
        <v>-246.31177465608911</v>
      </c>
      <c r="R5" s="45">
        <f t="shared" ref="R5:R36" si="4">(P5-S5)*2</f>
        <v>0</v>
      </c>
      <c r="S5" s="129">
        <f>((Panels!$T$94-Panels!$T$93)*N5/Panels!$U$94+Panels!$T$93)/2</f>
        <v>246.31177465608911</v>
      </c>
      <c r="T5" s="129">
        <f t="shared" ref="T5:T36" si="5">-S5</f>
        <v>-246.31177465608911</v>
      </c>
      <c r="U5" s="45">
        <f>IF(B6&gt;0,K5,"")</f>
        <v>28.391063961929355</v>
      </c>
      <c r="Z5" s="9" t="s">
        <v>90</v>
      </c>
      <c r="AA5" s="45">
        <f>Panels!S68</f>
        <v>23.745214268363274</v>
      </c>
      <c r="AB5" s="45">
        <f>Panels!T68</f>
        <v>61.434312766180099</v>
      </c>
      <c r="AC5" s="45">
        <f>Panels!S67</f>
        <v>43.808008572285473</v>
      </c>
      <c r="AD5" s="45">
        <f>Panels!T67</f>
        <v>55.945753326900345</v>
      </c>
      <c r="AE5" s="128">
        <f>(AD5-AB5)/(AC5-AA5)</f>
        <v>-0.27356904308223717</v>
      </c>
      <c r="AF5" s="128">
        <f>(AD5*AA5-AB5*AC5)/(AA5-AC5)</f>
        <v>67.930268311358915</v>
      </c>
      <c r="AH5" s="45"/>
      <c r="AI5" s="45"/>
    </row>
    <row r="6" spans="1:35" s="12" customFormat="1" ht="11.25" x14ac:dyDescent="0.2">
      <c r="A6" s="5" t="s">
        <v>15</v>
      </c>
      <c r="B6" s="39">
        <f>B3+1</f>
        <v>2</v>
      </c>
      <c r="C6" s="133">
        <f>C3</f>
        <v>38.818420132206604</v>
      </c>
      <c r="D6" s="134">
        <f>D3</f>
        <v>28.711620694050008</v>
      </c>
      <c r="E6" s="135"/>
      <c r="F6" s="134">
        <f>IF(Design!$H$19="x",C6,0)</f>
        <v>0</v>
      </c>
      <c r="G6" s="134">
        <f>IF(Design!$H$19="x",D6,0)</f>
        <v>0</v>
      </c>
      <c r="H6" s="134"/>
      <c r="I6" s="134"/>
      <c r="J6" s="134">
        <f>J5</f>
        <v>43.402594974606103</v>
      </c>
      <c r="K6" s="134">
        <f>K5</f>
        <v>28.391063961929355</v>
      </c>
      <c r="L6" s="139"/>
      <c r="M6" s="134">
        <f t="shared" si="1"/>
        <v>51.863645874736449</v>
      </c>
      <c r="N6" s="134">
        <f t="shared" si="1"/>
        <v>0</v>
      </c>
      <c r="O6" s="140">
        <f t="shared" si="1"/>
        <v>492.62354931217823</v>
      </c>
      <c r="P6" s="129">
        <f t="shared" si="2"/>
        <v>246.31177465608911</v>
      </c>
      <c r="Q6" s="129">
        <f t="shared" si="3"/>
        <v>-246.31177465608911</v>
      </c>
      <c r="R6" s="45">
        <f t="shared" si="4"/>
        <v>0</v>
      </c>
      <c r="S6" s="129">
        <f>((Panels!$T$94-Panels!$T$93)*N6/Panels!$U$94+Panels!$T$93)/2</f>
        <v>246.31177465608911</v>
      </c>
      <c r="T6" s="129">
        <f t="shared" si="5"/>
        <v>-246.31177465608911</v>
      </c>
      <c r="U6" s="45">
        <f>IF(B6&gt;0,K6,"")</f>
        <v>28.391063961929355</v>
      </c>
      <c r="Z6" s="9" t="s">
        <v>97</v>
      </c>
      <c r="AA6" s="45">
        <f>Panels!C19</f>
        <v>35.346013425758528</v>
      </c>
      <c r="AB6" s="45">
        <f>Panels!D19</f>
        <v>29.66156367392535</v>
      </c>
      <c r="AC6" s="45">
        <f>Panels!C22</f>
        <v>49.727094648871351</v>
      </c>
      <c r="AD6" s="45">
        <f>Panels!D22</f>
        <v>82.229942979875347</v>
      </c>
      <c r="AE6" s="128">
        <f>(AD6-AB6)/(AC6-AA6)</f>
        <v>3.6553843546522597</v>
      </c>
      <c r="AF6" s="128">
        <f>(AD6*AA6-AB6*AC6)/(AA6-AC6)</f>
        <v>-99.54170080192111</v>
      </c>
      <c r="AG6" s="45">
        <f>(AF5-AF6)/(AE6-AE5)</f>
        <v>42.625084127963255</v>
      </c>
      <c r="AH6" s="45">
        <f>AG6*AE6+AF6</f>
        <v>56.269364835172127</v>
      </c>
      <c r="AI6" s="45">
        <f>(AG6^2+AH6^2)^0.5</f>
        <v>70.591353690587709</v>
      </c>
    </row>
    <row r="7" spans="1:35" s="12" customFormat="1" ht="11.25" x14ac:dyDescent="0.2">
      <c r="C7" s="143"/>
      <c r="D7" s="144"/>
      <c r="E7" s="144"/>
      <c r="F7" s="145"/>
      <c r="G7" s="146"/>
      <c r="H7" s="146"/>
      <c r="I7" s="146"/>
      <c r="J7" s="146">
        <f>J6</f>
        <v>43.402594974606103</v>
      </c>
      <c r="K7" s="146">
        <f>K6</f>
        <v>28.391063961929355</v>
      </c>
      <c r="L7" s="147"/>
      <c r="M7" s="134">
        <f>((H5-H2)^2+(I5-I2)^2)^0.5</f>
        <v>0</v>
      </c>
      <c r="N7" s="134">
        <f>N4+M7</f>
        <v>0</v>
      </c>
      <c r="O7" s="140">
        <f>((C5-C6)^2+(D5-D6)^2)^0.5*Panels!$T$91</f>
        <v>492.62354931217823</v>
      </c>
      <c r="P7" s="129">
        <f t="shared" si="2"/>
        <v>246.31177465608911</v>
      </c>
      <c r="Q7" s="129">
        <f t="shared" si="3"/>
        <v>-246.31177465608911</v>
      </c>
      <c r="R7" s="45">
        <f t="shared" si="4"/>
        <v>0</v>
      </c>
      <c r="S7" s="129">
        <f>((Panels!$T$94-Panels!$T$93)*N7/Panels!$U$94+Panels!$T$93)/2</f>
        <v>246.31177465608911</v>
      </c>
      <c r="T7" s="129">
        <f t="shared" si="5"/>
        <v>-246.31177465608911</v>
      </c>
      <c r="U7" s="45">
        <f>IF(B6&gt;0,K7,"")</f>
        <v>28.391063961929355</v>
      </c>
      <c r="Z7" s="9" t="s">
        <v>98</v>
      </c>
      <c r="AA7" s="45">
        <f>Panels!C20</f>
        <v>38.818420132206604</v>
      </c>
      <c r="AB7" s="45">
        <f>Panels!D20</f>
        <v>28.711620694050008</v>
      </c>
      <c r="AC7" s="45">
        <f>Panels!C21</f>
        <v>53.199501355319427</v>
      </c>
      <c r="AD7" s="45">
        <f>Panels!D21</f>
        <v>81.28</v>
      </c>
      <c r="AE7" s="128">
        <f>(AD7-AB7)/(AC7-AA7)</f>
        <v>3.6553843546522593</v>
      </c>
      <c r="AF7" s="128">
        <f>(AD7*AA7-AB7*AC7)/(AA7-AC7)</f>
        <v>-113.18462492953628</v>
      </c>
      <c r="AG7" s="45">
        <f>(AF5-AF7)/(AE7-AE5)</f>
        <v>46.097490834411325</v>
      </c>
      <c r="AH7" s="45">
        <f>AG7*AE7+AF7</f>
        <v>55.319421855296781</v>
      </c>
      <c r="AI7" s="45">
        <f>(AG7^2+AH7^2)^0.5</f>
        <v>72.008451556972972</v>
      </c>
    </row>
    <row r="8" spans="1:35" s="12" customFormat="1" ht="11.25" x14ac:dyDescent="0.2">
      <c r="C8" s="130">
        <f>(Path!AB25+Path!AB26)/2</f>
        <v>40.293305304869236</v>
      </c>
      <c r="D8" s="131">
        <f>(Path!AC25+Path!AC26)/2</f>
        <v>42.607702552596962</v>
      </c>
      <c r="E8" s="132"/>
      <c r="F8" s="131">
        <f>IF(Design!$H$19="x",C8,0)</f>
        <v>0</v>
      </c>
      <c r="G8" s="131">
        <f>IF(Design!$H$19="x",D8,0)</f>
        <v>0</v>
      </c>
      <c r="H8" s="131">
        <f>SUM(C8:C9)/2</f>
        <v>45.242713685218526</v>
      </c>
      <c r="I8" s="131">
        <f>SUM(D8:D9)/2</f>
        <v>41.722918765632024</v>
      </c>
      <c r="J8" s="131">
        <f>IF(Design!$H$18="x",H8,0)</f>
        <v>45.242713685218526</v>
      </c>
      <c r="K8" s="131">
        <f>IF(Design!$H$18="x",I8,0)</f>
        <v>41.722918765632024</v>
      </c>
      <c r="L8" s="141"/>
      <c r="M8" s="131">
        <f t="shared" ref="M8:O9" si="6">M7</f>
        <v>0</v>
      </c>
      <c r="N8" s="131">
        <f t="shared" si="6"/>
        <v>0</v>
      </c>
      <c r="O8" s="142">
        <f t="shared" si="6"/>
        <v>492.62354931217823</v>
      </c>
      <c r="P8" s="129">
        <f t="shared" si="2"/>
        <v>246.31177465608911</v>
      </c>
      <c r="Q8" s="129">
        <f t="shared" si="3"/>
        <v>-246.31177465608911</v>
      </c>
      <c r="R8" s="45">
        <f t="shared" si="4"/>
        <v>0</v>
      </c>
      <c r="S8" s="129">
        <f>((Panels!$T$94-Panels!$T$93)*N8/Panels!$U$94+Panels!$T$93)/2</f>
        <v>246.31177465608911</v>
      </c>
      <c r="T8" s="129">
        <f t="shared" si="5"/>
        <v>-246.31177465608911</v>
      </c>
      <c r="U8" s="45">
        <f>IF(B9&gt;0,K8,"")</f>
        <v>41.722918765632024</v>
      </c>
    </row>
    <row r="9" spans="1:35" s="12" customFormat="1" ht="11.25" x14ac:dyDescent="0.2">
      <c r="B9" s="39">
        <f>B6+1</f>
        <v>3</v>
      </c>
      <c r="C9" s="133">
        <f>(Panels!C60+Panels!C61)/2</f>
        <v>50.192122065567816</v>
      </c>
      <c r="D9" s="133">
        <f>(Panels!D60+Panels!D61)/2</f>
        <v>40.838134978667085</v>
      </c>
      <c r="E9" s="135"/>
      <c r="F9" s="134">
        <f>IF(Design!$H$19="x",C9,0)</f>
        <v>0</v>
      </c>
      <c r="G9" s="134">
        <f>IF(Design!$H$19="x",D9,0)</f>
        <v>0</v>
      </c>
      <c r="H9" s="134"/>
      <c r="I9" s="134"/>
      <c r="J9" s="134">
        <f>J8</f>
        <v>45.242713685218526</v>
      </c>
      <c r="K9" s="134">
        <f>K8</f>
        <v>41.722918765632024</v>
      </c>
      <c r="L9" s="139"/>
      <c r="M9" s="134">
        <f t="shared" si="6"/>
        <v>0</v>
      </c>
      <c r="N9" s="134">
        <f t="shared" si="6"/>
        <v>0</v>
      </c>
      <c r="O9" s="140">
        <f t="shared" si="6"/>
        <v>492.62354931217823</v>
      </c>
      <c r="P9" s="129">
        <f t="shared" si="2"/>
        <v>246.31177465608911</v>
      </c>
      <c r="Q9" s="129">
        <f t="shared" si="3"/>
        <v>-246.31177465608911</v>
      </c>
      <c r="R9" s="45">
        <f t="shared" si="4"/>
        <v>0</v>
      </c>
      <c r="S9" s="129">
        <f>((Panels!$T$94-Panels!$T$93)*N9/Panels!$U$94+Panels!$T$93)/2</f>
        <v>246.31177465608911</v>
      </c>
      <c r="T9" s="129">
        <f t="shared" si="5"/>
        <v>-246.31177465608911</v>
      </c>
      <c r="U9" s="45">
        <f>IF(B9&gt;0,K9,"")</f>
        <v>41.722918765632024</v>
      </c>
      <c r="Z9" s="9" t="s">
        <v>99</v>
      </c>
      <c r="AA9" s="45">
        <f>Panels!C48</f>
        <v>35.227189551271238</v>
      </c>
      <c r="AB9" s="45">
        <f>Panels!D48</f>
        <v>28.962743999528861</v>
      </c>
      <c r="AC9" s="45">
        <f>Panels!C51</f>
        <v>78.621225737573582</v>
      </c>
      <c r="AD9" s="45">
        <f>Panels!D51</f>
        <v>25.928337391659412</v>
      </c>
      <c r="AE9" s="128">
        <f>(AD9-AB9)/(AC9-AA9)</f>
        <v>-6.9926811943510414E-2</v>
      </c>
      <c r="AF9" s="128">
        <f>(AD9*AA9-AB9*AC9)/(AA9-AC9)</f>
        <v>31.426069058578996</v>
      </c>
    </row>
    <row r="10" spans="1:35" s="12" customFormat="1" ht="11.25" x14ac:dyDescent="0.2">
      <c r="C10" s="143"/>
      <c r="D10" s="144"/>
      <c r="E10" s="144"/>
      <c r="F10" s="145"/>
      <c r="G10" s="146"/>
      <c r="H10" s="146"/>
      <c r="I10" s="146"/>
      <c r="J10" s="146">
        <f>J9</f>
        <v>45.242713685218526</v>
      </c>
      <c r="K10" s="146">
        <f>K9</f>
        <v>41.722918765632024</v>
      </c>
      <c r="L10" s="147"/>
      <c r="M10" s="134">
        <f>((H8-H5)^2+(I8-I5)^2)^0.5</f>
        <v>13.458246147851355</v>
      </c>
      <c r="N10" s="134">
        <f>N7+M10</f>
        <v>13.458246147851355</v>
      </c>
      <c r="O10" s="140">
        <f>((C8-C9)^2+(D8-D9)^2)^0.5*Panels!$T$91</f>
        <v>538.98775918027309</v>
      </c>
      <c r="P10" s="129">
        <f t="shared" si="2"/>
        <v>269.49387959013654</v>
      </c>
      <c r="Q10" s="129">
        <f t="shared" si="3"/>
        <v>-269.49387959013654</v>
      </c>
      <c r="R10" s="45">
        <f t="shared" si="4"/>
        <v>-2.9613983152020182</v>
      </c>
      <c r="S10" s="129">
        <f>((Panels!$T$94-Panels!$T$93)*N10/Panels!$U$94+Panels!$T$93)/2</f>
        <v>270.97457874773755</v>
      </c>
      <c r="T10" s="129">
        <f t="shared" si="5"/>
        <v>-270.97457874773755</v>
      </c>
      <c r="U10" s="45">
        <f>IF(B9&gt;0,K10,"")</f>
        <v>41.722918765632024</v>
      </c>
      <c r="Z10" s="9" t="s">
        <v>100</v>
      </c>
      <c r="AA10" s="45">
        <f>Panels!C60</f>
        <v>48.017890467794388</v>
      </c>
      <c r="AB10" s="45">
        <f>Panels!D60</f>
        <v>28.250676581363489</v>
      </c>
      <c r="AC10" s="45">
        <f>Panels!C61</f>
        <v>52.366353663341243</v>
      </c>
      <c r="AD10" s="45">
        <f>Panels!D61</f>
        <v>53.425593375970678</v>
      </c>
      <c r="AE10" s="128">
        <f>(AD10-AB10)/(AC10-AA10)</f>
        <v>5.7893825157329477</v>
      </c>
      <c r="AF10" s="128">
        <f>(AD10*AA10-AB10*AC10)/(AA10-AC10)</f>
        <v>-249.74325893526509</v>
      </c>
      <c r="AG10" s="45">
        <f>(AF9-AF10)/(AE10-AE9)</f>
        <v>47.986769817005609</v>
      </c>
      <c r="AH10" s="45">
        <f>AG10*AE10+AF10</f>
        <v>28.070507229808698</v>
      </c>
    </row>
    <row r="11" spans="1:35" s="12" customFormat="1" ht="11.25" x14ac:dyDescent="0.2">
      <c r="B11" s="9"/>
      <c r="C11" s="130">
        <f>Path!AA16</f>
        <v>41.76819047753186</v>
      </c>
      <c r="D11" s="131">
        <f>Path!AB16</f>
        <v>56.503784411143911</v>
      </c>
      <c r="E11" s="132"/>
      <c r="F11" s="131">
        <f>IF(Design!$H$19="x",C11,0)</f>
        <v>0</v>
      </c>
      <c r="G11" s="131">
        <f>IF(Design!$H$19="x",D11,0)</f>
        <v>0</v>
      </c>
      <c r="H11" s="131">
        <f>SUM(C11:C12)/2</f>
        <v>47.067272070436552</v>
      </c>
      <c r="I11" s="131">
        <f>SUM(D11:D12)/2</f>
        <v>54.964688893557295</v>
      </c>
      <c r="J11" s="131">
        <f>IF(Design!$H$18="x",H11,0)</f>
        <v>47.067272070436552</v>
      </c>
      <c r="K11" s="131">
        <f>IF(Design!$H$18="x",I11,0)</f>
        <v>54.964688893557295</v>
      </c>
      <c r="L11" s="141"/>
      <c r="M11" s="131">
        <f t="shared" ref="M11:O12" si="7">M10</f>
        <v>13.458246147851355</v>
      </c>
      <c r="N11" s="131">
        <f t="shared" si="7"/>
        <v>13.458246147851355</v>
      </c>
      <c r="O11" s="142">
        <f t="shared" si="7"/>
        <v>538.98775918027309</v>
      </c>
      <c r="P11" s="129">
        <f t="shared" si="2"/>
        <v>269.49387959013654</v>
      </c>
      <c r="Q11" s="129">
        <f t="shared" si="3"/>
        <v>-269.49387959013654</v>
      </c>
      <c r="R11" s="45">
        <f t="shared" si="4"/>
        <v>-2.9613983152020182</v>
      </c>
      <c r="S11" s="129">
        <f>((Panels!$T$94-Panels!$T$93)*N11/Panels!$U$94+Panels!$T$93)/2</f>
        <v>270.97457874773755</v>
      </c>
      <c r="T11" s="129">
        <f t="shared" si="5"/>
        <v>-270.97457874773755</v>
      </c>
      <c r="U11" s="45">
        <f>IF(B12&gt;0,K11,"")</f>
        <v>54.964688893557295</v>
      </c>
    </row>
    <row r="12" spans="1:35" s="12" customFormat="1" ht="11.25" x14ac:dyDescent="0.2">
      <c r="A12" s="9" t="s">
        <v>46</v>
      </c>
      <c r="B12" s="39">
        <f>B9+1</f>
        <v>4</v>
      </c>
      <c r="C12" s="133">
        <f>Panels!C61</f>
        <v>52.366353663341243</v>
      </c>
      <c r="D12" s="134">
        <f>Panels!D61</f>
        <v>53.425593375970678</v>
      </c>
      <c r="E12" s="135"/>
      <c r="F12" s="134">
        <f>IF(Design!$H$19="x",C12,0)</f>
        <v>0</v>
      </c>
      <c r="G12" s="134">
        <f>IF(Design!$H$19="x",D12,0)</f>
        <v>0</v>
      </c>
      <c r="H12" s="134"/>
      <c r="I12" s="134"/>
      <c r="J12" s="134">
        <f>J11</f>
        <v>47.067272070436552</v>
      </c>
      <c r="K12" s="134">
        <f>K11</f>
        <v>54.964688893557295</v>
      </c>
      <c r="L12" s="139"/>
      <c r="M12" s="134">
        <f t="shared" si="7"/>
        <v>13.458246147851355</v>
      </c>
      <c r="N12" s="134">
        <f t="shared" si="7"/>
        <v>13.458246147851355</v>
      </c>
      <c r="O12" s="140">
        <f t="shared" si="7"/>
        <v>538.98775918027309</v>
      </c>
      <c r="P12" s="129">
        <f t="shared" si="2"/>
        <v>269.49387959013654</v>
      </c>
      <c r="Q12" s="129">
        <f t="shared" si="3"/>
        <v>-269.49387959013654</v>
      </c>
      <c r="R12" s="45">
        <f t="shared" si="4"/>
        <v>-2.9613983152020182</v>
      </c>
      <c r="S12" s="129">
        <f>((Panels!$T$94-Panels!$T$93)*N12/Panels!$U$94+Panels!$T$93)/2</f>
        <v>270.97457874773755</v>
      </c>
      <c r="T12" s="129">
        <f t="shared" si="5"/>
        <v>-270.97457874773755</v>
      </c>
      <c r="U12" s="45">
        <f>IF(B12&gt;0,K12,"")</f>
        <v>54.964688893557295</v>
      </c>
      <c r="Z12" s="12" t="s">
        <v>104</v>
      </c>
      <c r="AA12" s="45">
        <f>AG7</f>
        <v>46.097490834411325</v>
      </c>
      <c r="AB12" s="45">
        <f>AH7</f>
        <v>55.319421855296781</v>
      </c>
      <c r="AC12" s="45">
        <f>AC5</f>
        <v>43.808008572285473</v>
      </c>
      <c r="AD12" s="45">
        <f>AD5</f>
        <v>55.945753326900345</v>
      </c>
      <c r="AE12" s="128">
        <f>(AD12-AB12)/(AC12-AA12)</f>
        <v>-0.27356904308225416</v>
      </c>
      <c r="AF12" s="128">
        <f>(AD12*AA12-AB12*AC12)/(AA12-AC12)</f>
        <v>67.930268311359512</v>
      </c>
    </row>
    <row r="13" spans="1:35" s="12" customFormat="1" ht="11.25" x14ac:dyDescent="0.2">
      <c r="C13" s="143"/>
      <c r="D13" s="144"/>
      <c r="E13" s="144"/>
      <c r="F13" s="145"/>
      <c r="G13" s="146"/>
      <c r="H13" s="146"/>
      <c r="I13" s="146"/>
      <c r="J13" s="146">
        <f>J12</f>
        <v>47.067272070436552</v>
      </c>
      <c r="K13" s="146">
        <f>K12</f>
        <v>54.964688893557295</v>
      </c>
      <c r="L13" s="147"/>
      <c r="M13" s="134">
        <f>((H11-H8)^2+(I11-I8)^2)^0.5</f>
        <v>13.366880317481842</v>
      </c>
      <c r="N13" s="134">
        <f>N10+M13</f>
        <v>26.825126465333199</v>
      </c>
      <c r="O13" s="140">
        <f>((C11-C12)^2+(D11-D12)^2)^0.5*Panels!$T$91</f>
        <v>591.53695067772196</v>
      </c>
      <c r="P13" s="129">
        <f t="shared" si="2"/>
        <v>295.76847533886098</v>
      </c>
      <c r="Q13" s="129">
        <f t="shared" si="3"/>
        <v>-295.76847533886098</v>
      </c>
      <c r="R13" s="45">
        <f t="shared" si="4"/>
        <v>0.59704847972136577</v>
      </c>
      <c r="S13" s="129">
        <f>((Panels!$T$94-Panels!$T$93)*N13/Panels!$U$94+Panels!$T$93)/2</f>
        <v>295.4699510990003</v>
      </c>
      <c r="T13" s="129">
        <f t="shared" si="5"/>
        <v>-295.4699510990003</v>
      </c>
      <c r="U13" s="45">
        <f>IF(B12&gt;0,K13,"")</f>
        <v>54.964688893557295</v>
      </c>
    </row>
    <row r="14" spans="1:35" s="12" customFormat="1" ht="11.25" x14ac:dyDescent="0.2">
      <c r="B14" s="9"/>
      <c r="C14" s="130">
        <f>(Panels!C68+Panels!C69)/2</f>
        <v>57.223550774742812</v>
      </c>
      <c r="D14" s="130">
        <f>(Panels!D68+Panels!D69)/2</f>
        <v>60.802829392645386</v>
      </c>
      <c r="E14" s="132"/>
      <c r="F14" s="131">
        <f>IF(Design!$H$19="x",C14,0)</f>
        <v>0</v>
      </c>
      <c r="G14" s="131">
        <f>IF(Design!$H$19="x",D14,0)</f>
        <v>0</v>
      </c>
      <c r="H14" s="131">
        <f>SUM(C14:C15)/2</f>
        <v>52.353698345584228</v>
      </c>
      <c r="I14" s="131">
        <f>SUM(D14:D15)/2</f>
        <v>64.847360799108671</v>
      </c>
      <c r="J14" s="131">
        <f>IF(Design!$H$18="x",H14,0)</f>
        <v>52.353698345584228</v>
      </c>
      <c r="K14" s="131">
        <f>IF(Design!$H$18="x",I14,0)</f>
        <v>64.847360799108671</v>
      </c>
      <c r="L14" s="141"/>
      <c r="M14" s="131">
        <f t="shared" ref="M14:O15" si="8">M13</f>
        <v>13.366880317481842</v>
      </c>
      <c r="N14" s="131">
        <f t="shared" si="8"/>
        <v>26.825126465333199</v>
      </c>
      <c r="O14" s="142">
        <f t="shared" si="8"/>
        <v>591.53695067772196</v>
      </c>
      <c r="P14" s="129">
        <f t="shared" si="2"/>
        <v>295.76847533886098</v>
      </c>
      <c r="Q14" s="129">
        <f t="shared" si="3"/>
        <v>-295.76847533886098</v>
      </c>
      <c r="R14" s="45">
        <f t="shared" si="4"/>
        <v>0.59704847972136577</v>
      </c>
      <c r="S14" s="129">
        <f>((Panels!$T$94-Panels!$T$93)*N14/Panels!$U$94+Panels!$T$93)/2</f>
        <v>295.4699510990003</v>
      </c>
      <c r="T14" s="129">
        <f t="shared" si="5"/>
        <v>-295.4699510990003</v>
      </c>
      <c r="U14" s="45">
        <f>IF(B15&gt;0,K14,"")</f>
        <v>64.847360799108671</v>
      </c>
      <c r="Z14" s="12" t="s">
        <v>105</v>
      </c>
      <c r="AG14" s="45">
        <f>AI14*COS(ATAN(AE5))</f>
        <v>4.3293003568794646</v>
      </c>
      <c r="AH14" s="45">
        <f>AI14*SIN(ATAN(AE5))</f>
        <v>-1.1843625558471029</v>
      </c>
      <c r="AI14" s="45">
        <f>Design!D23/Design!E46</f>
        <v>4.4883801358362403</v>
      </c>
    </row>
    <row r="15" spans="1:35" s="12" customFormat="1" ht="11.25" x14ac:dyDescent="0.2">
      <c r="B15" s="39">
        <f>B12+1</f>
        <v>5</v>
      </c>
      <c r="C15" s="133">
        <f>(Path!AB26+Path!AB27)/2</f>
        <v>47.483845916425643</v>
      </c>
      <c r="D15" s="133">
        <f>(Path!AC26+Path!AC27)/2</f>
        <v>68.891892205571963</v>
      </c>
      <c r="E15" s="135"/>
      <c r="F15" s="134">
        <f>IF(Design!$H$19="x",C15,0)</f>
        <v>0</v>
      </c>
      <c r="G15" s="134">
        <f>IF(Design!$H$19="x",D15,0)</f>
        <v>0</v>
      </c>
      <c r="H15" s="134"/>
      <c r="I15" s="134"/>
      <c r="J15" s="134">
        <f>J14</f>
        <v>52.353698345584228</v>
      </c>
      <c r="K15" s="134">
        <f>K14</f>
        <v>64.847360799108671</v>
      </c>
      <c r="L15" s="139"/>
      <c r="M15" s="134">
        <f t="shared" si="8"/>
        <v>13.366880317481842</v>
      </c>
      <c r="N15" s="134">
        <f t="shared" si="8"/>
        <v>26.825126465333199</v>
      </c>
      <c r="O15" s="140">
        <f t="shared" si="8"/>
        <v>591.53695067772196</v>
      </c>
      <c r="P15" s="129">
        <f t="shared" si="2"/>
        <v>295.76847533886098</v>
      </c>
      <c r="Q15" s="129">
        <f t="shared" si="3"/>
        <v>-295.76847533886098</v>
      </c>
      <c r="R15" s="45">
        <f t="shared" si="4"/>
        <v>0.59704847972136577</v>
      </c>
      <c r="S15" s="129">
        <f>((Panels!$T$94-Panels!$T$93)*N15/Panels!$U$94+Panels!$T$93)/2</f>
        <v>295.4699510990003</v>
      </c>
      <c r="T15" s="129">
        <f t="shared" si="5"/>
        <v>-295.4699510990003</v>
      </c>
      <c r="U15" s="45">
        <f>IF(B15&gt;0,K15,"")</f>
        <v>64.847360799108671</v>
      </c>
    </row>
    <row r="16" spans="1:35" s="12" customFormat="1" ht="11.25" x14ac:dyDescent="0.2">
      <c r="B16" s="9"/>
      <c r="C16" s="148"/>
      <c r="D16" s="135"/>
      <c r="E16" s="135"/>
      <c r="F16" s="138"/>
      <c r="G16" s="134"/>
      <c r="H16" s="134"/>
      <c r="I16" s="134"/>
      <c r="J16" s="146">
        <f>J15</f>
        <v>52.353698345584228</v>
      </c>
      <c r="K16" s="146">
        <f>K15</f>
        <v>64.847360799108671</v>
      </c>
      <c r="L16" s="147"/>
      <c r="M16" s="134">
        <f>((H14-H11)^2+(I14-I11)^2)^0.5</f>
        <v>11.207743160661124</v>
      </c>
      <c r="N16" s="134">
        <f>N13+M16</f>
        <v>38.032869625994323</v>
      </c>
      <c r="O16" s="140">
        <f>((C14-C15)^2+(D14-D15)^2)^0.5*Panels!$T$91</f>
        <v>678.61661775896505</v>
      </c>
      <c r="P16" s="129">
        <f t="shared" si="2"/>
        <v>339.30830887948252</v>
      </c>
      <c r="Q16" s="129">
        <f t="shared" si="3"/>
        <v>-339.30830887948252</v>
      </c>
      <c r="R16" s="45">
        <f t="shared" si="4"/>
        <v>46.599390797510296</v>
      </c>
      <c r="S16" s="129">
        <f>((Panels!$T$94-Panels!$T$93)*N16/Panels!$U$94+Panels!$T$93)/2</f>
        <v>316.00861348072738</v>
      </c>
      <c r="T16" s="129">
        <f t="shared" si="5"/>
        <v>-316.00861348072738</v>
      </c>
      <c r="U16" s="45">
        <f>IF(B15&gt;0,K16,"")</f>
        <v>64.847360799108671</v>
      </c>
      <c r="Z16" s="12" t="s">
        <v>106</v>
      </c>
      <c r="AA16" s="193">
        <f>AA12-AG14</f>
        <v>41.76819047753186</v>
      </c>
      <c r="AB16" s="45">
        <f>AA16*AE5+AF5</f>
        <v>56.503784411143911</v>
      </c>
      <c r="AC16" s="45">
        <f>AC12</f>
        <v>43.808008572285473</v>
      </c>
      <c r="AD16" s="45">
        <f>AC16*AE12+AF12</f>
        <v>55.945753326900189</v>
      </c>
    </row>
    <row r="17" spans="2:34" s="12" customFormat="1" ht="11.25" x14ac:dyDescent="0.2">
      <c r="B17" s="9"/>
      <c r="C17" s="130">
        <f>Panels!C68</f>
        <v>61.791812788319135</v>
      </c>
      <c r="D17" s="131">
        <f>Panels!D67</f>
        <v>66.451378307460388</v>
      </c>
      <c r="E17" s="132"/>
      <c r="F17" s="131">
        <f>IF(Design!$H$19="x",C17,0)</f>
        <v>0</v>
      </c>
      <c r="G17" s="131">
        <f>IF(Design!$H$19="x",D17,0)</f>
        <v>0</v>
      </c>
      <c r="H17" s="131">
        <f>SUM(C17:C18)/2</f>
        <v>55.948000339611418</v>
      </c>
      <c r="I17" s="131">
        <f>SUM(D17:D18)/2</f>
        <v>70.334611366817171</v>
      </c>
      <c r="J17" s="131">
        <f>IF(Design!$H$18="x",H17,0)</f>
        <v>55.948000339611418</v>
      </c>
      <c r="K17" s="131">
        <f>IF(Design!$H$18="x",I17,0)</f>
        <v>70.334611366817171</v>
      </c>
      <c r="L17" s="141"/>
      <c r="M17" s="131">
        <f t="shared" ref="M17:O18" si="9">M16</f>
        <v>11.207743160661124</v>
      </c>
      <c r="N17" s="131">
        <f t="shared" si="9"/>
        <v>38.032869625994323</v>
      </c>
      <c r="O17" s="142">
        <f t="shared" si="9"/>
        <v>678.61661775896505</v>
      </c>
      <c r="P17" s="129">
        <f t="shared" si="2"/>
        <v>339.30830887948252</v>
      </c>
      <c r="Q17" s="129">
        <f t="shared" si="3"/>
        <v>-339.30830887948252</v>
      </c>
      <c r="R17" s="45">
        <f t="shared" si="4"/>
        <v>46.599390797510296</v>
      </c>
      <c r="S17" s="129">
        <f>((Panels!$T$94-Panels!$T$93)*N17/Panels!$U$94+Panels!$T$93)/2</f>
        <v>316.00861348072738</v>
      </c>
      <c r="T17" s="129">
        <f t="shared" si="5"/>
        <v>-316.00861348072738</v>
      </c>
      <c r="U17" s="45">
        <f>IF(B18&gt;0,K17,"")</f>
        <v>70.334611366817171</v>
      </c>
    </row>
    <row r="18" spans="2:34" s="12" customFormat="1" ht="11.25" x14ac:dyDescent="0.2">
      <c r="B18" s="39">
        <f>B15+1</f>
        <v>6</v>
      </c>
      <c r="C18" s="133">
        <f>(C15+Panels!C21-Design!$D$50*Panels!S26)/2</f>
        <v>50.104187890903702</v>
      </c>
      <c r="D18" s="134">
        <f>(D15+Panels!D21-Design!$D$50*Panels!S25)/2</f>
        <v>74.217844426173968</v>
      </c>
      <c r="E18" s="135"/>
      <c r="F18" s="134">
        <f>IF(Design!$H$19="x",C18,0)</f>
        <v>0</v>
      </c>
      <c r="G18" s="134">
        <f>IF(Design!$H$19="x",D18,0)</f>
        <v>0</v>
      </c>
      <c r="H18" s="135"/>
      <c r="I18" s="135"/>
      <c r="J18" s="134">
        <f>J17</f>
        <v>55.948000339611418</v>
      </c>
      <c r="K18" s="134">
        <f>K17</f>
        <v>70.334611366817171</v>
      </c>
      <c r="L18" s="139"/>
      <c r="M18" s="134">
        <f t="shared" si="9"/>
        <v>11.207743160661124</v>
      </c>
      <c r="N18" s="134">
        <f t="shared" si="9"/>
        <v>38.032869625994323</v>
      </c>
      <c r="O18" s="140">
        <f t="shared" si="9"/>
        <v>678.61661775896505</v>
      </c>
      <c r="P18" s="129">
        <f t="shared" si="2"/>
        <v>339.30830887948252</v>
      </c>
      <c r="Q18" s="129">
        <f t="shared" si="3"/>
        <v>-339.30830887948252</v>
      </c>
      <c r="R18" s="45">
        <f t="shared" si="4"/>
        <v>46.599390797510296</v>
      </c>
      <c r="S18" s="129">
        <f>((Panels!$T$94-Panels!$T$93)*N18/Panels!$U$94+Panels!$T$93)/2</f>
        <v>316.00861348072738</v>
      </c>
      <c r="T18" s="129">
        <f t="shared" si="5"/>
        <v>-316.00861348072738</v>
      </c>
      <c r="U18" s="45">
        <f>IF(B18&gt;0,K18,"")</f>
        <v>70.334611366817171</v>
      </c>
      <c r="Z18" s="12" t="s">
        <v>109</v>
      </c>
      <c r="AA18" s="45">
        <f>Panels!C63</f>
        <v>49.791624685064669</v>
      </c>
      <c r="AB18" s="45">
        <f>Panels!D63</f>
        <v>27.944299482864629</v>
      </c>
      <c r="AC18" s="45">
        <f>AA18+10*Panels!S49</f>
        <v>51.493719676724993</v>
      </c>
      <c r="AD18" s="45">
        <f>AB18+10*Panels!S48</f>
        <v>37.798378467699528</v>
      </c>
      <c r="AE18" s="128">
        <f>(AD18-AB18)/(AC18-AA18)</f>
        <v>5.7893825157329477</v>
      </c>
      <c r="AF18" s="128">
        <f>(AD18*AA18-AB18*AC18)/(AA18-AC18)</f>
        <v>-260.31846189878581</v>
      </c>
      <c r="AG18" s="45">
        <f>(AF5-AF18)/(AE18-AE5)</f>
        <v>54.140087880611524</v>
      </c>
      <c r="AH18" s="45">
        <f>AG18*AE18+AF18</f>
        <v>53.119216277471821</v>
      </c>
    </row>
    <row r="19" spans="2:34" s="12" customFormat="1" ht="11.25" x14ac:dyDescent="0.2">
      <c r="B19" s="9"/>
      <c r="C19" s="149"/>
      <c r="D19" s="150"/>
      <c r="E19" s="150"/>
      <c r="F19" s="150"/>
      <c r="G19" s="150"/>
      <c r="H19" s="150"/>
      <c r="I19" s="150"/>
      <c r="J19" s="146">
        <f>J18</f>
        <v>55.948000339611418</v>
      </c>
      <c r="K19" s="146">
        <f>K18</f>
        <v>70.334611366817171</v>
      </c>
      <c r="L19" s="147"/>
      <c r="M19" s="134">
        <f>((H17-H14)^2+(I17-I14)^2)^0.5</f>
        <v>6.5596437111389747</v>
      </c>
      <c r="N19" s="134">
        <f>N16+M19</f>
        <v>44.592513337133298</v>
      </c>
      <c r="O19" s="140">
        <f>((C17-C18)^2+(D17-D18)^2)^0.5*Panels!$T$91</f>
        <v>752.15635329142617</v>
      </c>
      <c r="P19" s="129">
        <f t="shared" si="2"/>
        <v>376.07817664571309</v>
      </c>
      <c r="Q19" s="129">
        <f t="shared" si="3"/>
        <v>-376.07817664571309</v>
      </c>
      <c r="R19" s="45">
        <f t="shared" si="4"/>
        <v>96.097478409203745</v>
      </c>
      <c r="S19" s="129">
        <f>((Panels!$T$94-Panels!$T$93)*N19/Panels!$U$94+Panels!$T$93)/2</f>
        <v>328.02943744111121</v>
      </c>
      <c r="T19" s="129">
        <f t="shared" si="5"/>
        <v>-328.02943744111121</v>
      </c>
      <c r="U19" s="45">
        <f>IF(B18&gt;0,K19,"")</f>
        <v>70.334611366817171</v>
      </c>
    </row>
    <row r="20" spans="2:34" s="12" customFormat="1" ht="11.25" x14ac:dyDescent="0.2">
      <c r="B20" s="9"/>
      <c r="C20" s="133">
        <f>C17</f>
        <v>61.791812788319135</v>
      </c>
      <c r="D20" s="134">
        <f>D17</f>
        <v>66.451378307460388</v>
      </c>
      <c r="E20" s="135"/>
      <c r="F20" s="131">
        <f>IF(Design!$H$19="x",C20,0)</f>
        <v>0</v>
      </c>
      <c r="G20" s="131">
        <f>IF(Design!$H$19="x",D20,0)</f>
        <v>0</v>
      </c>
      <c r="H20" s="134">
        <f>SUM(C20:C21)/2</f>
        <v>59.757408015018441</v>
      </c>
      <c r="I20" s="134">
        <f>SUM(D20:D21)/2</f>
        <v>72.965689153730196</v>
      </c>
      <c r="J20" s="131">
        <f>IF(Design!$H$18="x",H20,0)</f>
        <v>59.757408015018441</v>
      </c>
      <c r="K20" s="131">
        <f>IF(Design!$H$18="x",I20,0)</f>
        <v>72.965689153730196</v>
      </c>
      <c r="L20" s="141"/>
      <c r="M20" s="131">
        <f t="shared" ref="M20:O21" si="10">M19</f>
        <v>6.5596437111389747</v>
      </c>
      <c r="N20" s="131">
        <f t="shared" si="10"/>
        <v>44.592513337133298</v>
      </c>
      <c r="O20" s="142">
        <f t="shared" si="10"/>
        <v>752.15635329142617</v>
      </c>
      <c r="P20" s="129">
        <f t="shared" si="2"/>
        <v>376.07817664571309</v>
      </c>
      <c r="Q20" s="129">
        <f t="shared" si="3"/>
        <v>-376.07817664571309</v>
      </c>
      <c r="R20" s="45">
        <f t="shared" si="4"/>
        <v>96.097478409203745</v>
      </c>
      <c r="S20" s="129">
        <f>((Panels!$T$94-Panels!$T$93)*N20/Panels!$U$94+Panels!$T$93)/2</f>
        <v>328.02943744111121</v>
      </c>
      <c r="T20" s="129">
        <f t="shared" si="5"/>
        <v>-328.02943744111121</v>
      </c>
      <c r="U20" s="45">
        <f>IF(B21&gt;0,K20,"")</f>
        <v>72.965689153730196</v>
      </c>
      <c r="Z20" s="12" t="s">
        <v>112</v>
      </c>
      <c r="AA20" s="45">
        <f>Path!C9</f>
        <v>50.192122065567816</v>
      </c>
      <c r="AB20" s="45">
        <f>Path!D9</f>
        <v>40.838134978667085</v>
      </c>
      <c r="AC20" s="45">
        <f>Path!C8</f>
        <v>40.293305304869236</v>
      </c>
      <c r="AD20" s="45">
        <f>Path!D8</f>
        <v>42.607702552596962</v>
      </c>
      <c r="AE20" s="128">
        <f>(AD20-AB20)/(AC20-AA20)</f>
        <v>-0.17876556529014831</v>
      </c>
      <c r="AF20" s="128">
        <f>(AD20*AA20-AB20*AC20)/(AA20-AC20)</f>
        <v>49.810758052830451</v>
      </c>
    </row>
    <row r="21" spans="2:34" s="12" customFormat="1" ht="11.25" x14ac:dyDescent="0.2">
      <c r="B21" s="39">
        <f>B18+1</f>
        <v>7</v>
      </c>
      <c r="C21" s="133">
        <f>(Panels!C38+C24)/2</f>
        <v>57.723003241717741</v>
      </c>
      <c r="D21" s="134">
        <f>Panels!D38</f>
        <v>79.48</v>
      </c>
      <c r="E21" s="135"/>
      <c r="F21" s="134">
        <f>IF(Design!$H$19="x",C21,0)</f>
        <v>0</v>
      </c>
      <c r="G21" s="134">
        <f>IF(Design!$H$19="x",D21,0)</f>
        <v>0</v>
      </c>
      <c r="H21" s="135"/>
      <c r="I21" s="135"/>
      <c r="J21" s="134">
        <f>J20</f>
        <v>59.757408015018441</v>
      </c>
      <c r="K21" s="134">
        <f>K20</f>
        <v>72.965689153730196</v>
      </c>
      <c r="L21" s="139"/>
      <c r="M21" s="134">
        <f t="shared" si="10"/>
        <v>6.5596437111389747</v>
      </c>
      <c r="N21" s="134">
        <f t="shared" si="10"/>
        <v>44.592513337133298</v>
      </c>
      <c r="O21" s="140">
        <f t="shared" si="10"/>
        <v>752.15635329142617</v>
      </c>
      <c r="P21" s="129">
        <f t="shared" si="2"/>
        <v>376.07817664571309</v>
      </c>
      <c r="Q21" s="129">
        <f t="shared" si="3"/>
        <v>-376.07817664571309</v>
      </c>
      <c r="R21" s="45">
        <f t="shared" si="4"/>
        <v>96.097478409203745</v>
      </c>
      <c r="S21" s="129">
        <f>((Panels!$T$94-Panels!$T$93)*N21/Panels!$U$94+Panels!$T$93)/2</f>
        <v>328.02943744111121</v>
      </c>
      <c r="T21" s="129">
        <f t="shared" si="5"/>
        <v>-328.02943744111121</v>
      </c>
      <c r="U21" s="45">
        <f>IF(B21&gt;0,K21,"")</f>
        <v>72.965689153730196</v>
      </c>
    </row>
    <row r="22" spans="2:34" s="12" customFormat="1" ht="11.25" x14ac:dyDescent="0.2">
      <c r="B22" s="9"/>
      <c r="C22" s="149"/>
      <c r="D22" s="150"/>
      <c r="E22" s="150"/>
      <c r="F22" s="150"/>
      <c r="G22" s="150"/>
      <c r="H22" s="150"/>
      <c r="I22" s="150"/>
      <c r="J22" s="146">
        <f>J21</f>
        <v>59.757408015018441</v>
      </c>
      <c r="K22" s="146">
        <f>K21</f>
        <v>72.965689153730196</v>
      </c>
      <c r="L22" s="147"/>
      <c r="M22" s="134">
        <f>((H20-H17)^2+(I20-I17)^2)^0.5</f>
        <v>4.629703787310488</v>
      </c>
      <c r="N22" s="134">
        <f>N19+M22</f>
        <v>49.222217124443787</v>
      </c>
      <c r="O22" s="140">
        <f>((C20-C21)^2+(D20-D21)^2)^0.5*Panels!$T$91</f>
        <v>731.59620441423544</v>
      </c>
      <c r="P22" s="129">
        <f t="shared" si="2"/>
        <v>365.79810220711772</v>
      </c>
      <c r="Q22" s="129">
        <f t="shared" si="3"/>
        <v>-365.79810220711772</v>
      </c>
      <c r="R22" s="45">
        <f t="shared" si="4"/>
        <v>58.56907434416587</v>
      </c>
      <c r="S22" s="129">
        <f>((Panels!$T$94-Panels!$T$93)*N22/Panels!$U$94+Panels!$T$93)/2</f>
        <v>336.51356503503479</v>
      </c>
      <c r="T22" s="129">
        <f t="shared" si="5"/>
        <v>-336.51356503503479</v>
      </c>
      <c r="U22" s="45">
        <f>IF(B21&gt;0,K22,"")</f>
        <v>72.965689153730196</v>
      </c>
      <c r="Z22" s="12" t="s">
        <v>113</v>
      </c>
      <c r="AA22" s="45">
        <f>Path!C14</f>
        <v>57.223550774742812</v>
      </c>
      <c r="AB22" s="45">
        <f>Path!D14</f>
        <v>60.802829392645386</v>
      </c>
    </row>
    <row r="23" spans="2:34" s="12" customFormat="1" ht="11.25" x14ac:dyDescent="0.2">
      <c r="B23" s="5"/>
      <c r="C23" s="133">
        <f>C20</f>
        <v>61.791812788319135</v>
      </c>
      <c r="D23" s="134">
        <f>D20</f>
        <v>66.451378307460388</v>
      </c>
      <c r="E23" s="135"/>
      <c r="F23" s="131">
        <f>IF(Design!$H$19="x",C23,0)</f>
        <v>0</v>
      </c>
      <c r="G23" s="131">
        <f>IF(Design!$H$19="x",D23,0)</f>
        <v>0</v>
      </c>
      <c r="H23" s="134">
        <f>SUM(C23:C24)/2</f>
        <v>62.019158958217595</v>
      </c>
      <c r="I23" s="134">
        <f>SUM(D23:D24)/2</f>
        <v>72.965689153730196</v>
      </c>
      <c r="J23" s="131">
        <f>IF(Design!$H$18="x",H23,0)</f>
        <v>62.019158958217595</v>
      </c>
      <c r="K23" s="131">
        <f>IF(Design!$H$18="x",I23,0)</f>
        <v>72.965689153730196</v>
      </c>
      <c r="L23" s="141"/>
      <c r="M23" s="131">
        <f t="shared" ref="M23:O24" si="11">M22</f>
        <v>4.629703787310488</v>
      </c>
      <c r="N23" s="131">
        <f t="shared" si="11"/>
        <v>49.222217124443787</v>
      </c>
      <c r="O23" s="142">
        <f t="shared" si="11"/>
        <v>731.59620441423544</v>
      </c>
      <c r="P23" s="129">
        <f t="shared" si="2"/>
        <v>365.79810220711772</v>
      </c>
      <c r="Q23" s="129">
        <f t="shared" si="3"/>
        <v>-365.79810220711772</v>
      </c>
      <c r="R23" s="45">
        <f t="shared" si="4"/>
        <v>58.56907434416587</v>
      </c>
      <c r="S23" s="129">
        <f>((Panels!$T$94-Panels!$T$93)*N23/Panels!$U$94+Panels!$T$93)/2</f>
        <v>336.51356503503479</v>
      </c>
      <c r="T23" s="129">
        <f t="shared" si="5"/>
        <v>-336.51356503503479</v>
      </c>
      <c r="U23" s="45">
        <f>IF(B24&gt;0,K23,"")</f>
        <v>72.965689153730196</v>
      </c>
    </row>
    <row r="24" spans="2:34" s="12" customFormat="1" ht="11.25" x14ac:dyDescent="0.2">
      <c r="B24" s="39">
        <f>B21+1</f>
        <v>8</v>
      </c>
      <c r="C24" s="133">
        <f>C23+(D24-D23)*Panels!S11</f>
        <v>62.246505128116056</v>
      </c>
      <c r="D24" s="134">
        <f>D21</f>
        <v>79.48</v>
      </c>
      <c r="E24" s="135"/>
      <c r="F24" s="134">
        <f>IF(Design!$H$19="x",C24,0)</f>
        <v>0</v>
      </c>
      <c r="G24" s="134">
        <f>IF(Design!$H$19="x",D24,0)</f>
        <v>0</v>
      </c>
      <c r="H24" s="135"/>
      <c r="I24" s="135"/>
      <c r="J24" s="134">
        <f>J23</f>
        <v>62.019158958217595</v>
      </c>
      <c r="K24" s="134">
        <f>K23</f>
        <v>72.965689153730196</v>
      </c>
      <c r="L24" s="139"/>
      <c r="M24" s="134">
        <f t="shared" si="11"/>
        <v>4.629703787310488</v>
      </c>
      <c r="N24" s="134">
        <f t="shared" si="11"/>
        <v>49.222217124443787</v>
      </c>
      <c r="O24" s="140">
        <f t="shared" si="11"/>
        <v>731.59620441423544</v>
      </c>
      <c r="P24" s="129">
        <f t="shared" si="2"/>
        <v>365.79810220711772</v>
      </c>
      <c r="Q24" s="129">
        <f t="shared" si="3"/>
        <v>-365.79810220711772</v>
      </c>
      <c r="R24" s="45">
        <f t="shared" si="4"/>
        <v>58.56907434416587</v>
      </c>
      <c r="S24" s="129">
        <f>((Panels!$T$94-Panels!$T$93)*N24/Panels!$U$94+Panels!$T$93)/2</f>
        <v>336.51356503503479</v>
      </c>
      <c r="T24" s="129">
        <f t="shared" si="5"/>
        <v>-336.51356503503479</v>
      </c>
      <c r="U24" s="45">
        <f>IF(B24&gt;0,K24,"")</f>
        <v>72.965689153730196</v>
      </c>
    </row>
    <row r="25" spans="2:34" s="12" customFormat="1" ht="11.25" x14ac:dyDescent="0.2">
      <c r="B25" s="9"/>
      <c r="C25" s="149"/>
      <c r="D25" s="150"/>
      <c r="E25" s="150"/>
      <c r="F25" s="150"/>
      <c r="G25" s="150"/>
      <c r="H25" s="150"/>
      <c r="I25" s="150"/>
      <c r="J25" s="146">
        <f>J24</f>
        <v>62.019158958217595</v>
      </c>
      <c r="K25" s="146">
        <f>K24</f>
        <v>72.965689153730196</v>
      </c>
      <c r="L25" s="147"/>
      <c r="M25" s="134">
        <f>((H23-H20)^2+(I23-I20)^2)^0.5</f>
        <v>2.2617509431991536</v>
      </c>
      <c r="N25" s="134">
        <f>N22+M25</f>
        <v>51.483968067642941</v>
      </c>
      <c r="O25" s="140">
        <f>((C23-C24)^2+(D23-D24)^2)^0.5*Panels!$T$91</f>
        <v>698.75927001103753</v>
      </c>
      <c r="P25" s="129">
        <f t="shared" si="2"/>
        <v>349.37963500551876</v>
      </c>
      <c r="Q25" s="129">
        <f t="shared" si="3"/>
        <v>-349.37963500551876</v>
      </c>
      <c r="R25" s="45">
        <f t="shared" si="4"/>
        <v>17.442631812878403</v>
      </c>
      <c r="S25" s="129">
        <f>((Panels!$T$94-Panels!$T$93)*N25/Panels!$U$94+Panels!$T$93)/2</f>
        <v>340.65831909907956</v>
      </c>
      <c r="T25" s="129">
        <f t="shared" si="5"/>
        <v>-340.65831909907956</v>
      </c>
      <c r="U25" s="45">
        <f>IF(B24&gt;0,K25,"")</f>
        <v>72.965689153730196</v>
      </c>
      <c r="W25" s="12">
        <v>0</v>
      </c>
      <c r="Z25" s="12" t="s">
        <v>110</v>
      </c>
      <c r="AA25" s="12" t="str">
        <f>Design!$H$21</f>
        <v>o</v>
      </c>
      <c r="AB25" s="44">
        <f>Panels!C20</f>
        <v>38.818420132206604</v>
      </c>
      <c r="AC25" s="44">
        <f>Panels!D20</f>
        <v>28.711620694050008</v>
      </c>
      <c r="AD25" s="44">
        <f>IF(AA25="x",AB25,0)</f>
        <v>0</v>
      </c>
      <c r="AE25" s="44">
        <f>IF(AA25="x",AC25,0)</f>
        <v>0</v>
      </c>
    </row>
    <row r="26" spans="2:34" s="12" customFormat="1" ht="11.25" x14ac:dyDescent="0.2">
      <c r="B26" s="9"/>
      <c r="C26" s="133">
        <f>Panels!C56</f>
        <v>63.27661190776417</v>
      </c>
      <c r="D26" s="134">
        <f>Panels!D56</f>
        <v>66.451378307460388</v>
      </c>
      <c r="E26" s="135"/>
      <c r="F26" s="131">
        <f>IF(Design!$H$19="x",C26,0)</f>
        <v>0</v>
      </c>
      <c r="G26" s="131">
        <f>IF(Design!$H$19="x",D26,0)</f>
        <v>0</v>
      </c>
      <c r="H26" s="134">
        <f>SUM(C26:C27)/2</f>
        <v>63.503958077662631</v>
      </c>
      <c r="I26" s="134">
        <f>SUM(D26:D27)/2</f>
        <v>72.965689153730196</v>
      </c>
      <c r="J26" s="131">
        <f>IF(Design!$H$18="x",H26,0)</f>
        <v>63.503958077662631</v>
      </c>
      <c r="K26" s="131">
        <f>IF(Design!$H$18="x",I26,0)</f>
        <v>72.965689153730196</v>
      </c>
      <c r="L26" s="141"/>
      <c r="M26" s="131">
        <f t="shared" ref="M26:O27" si="12">M25</f>
        <v>2.2617509431991536</v>
      </c>
      <c r="N26" s="131">
        <f t="shared" si="12"/>
        <v>51.483968067642941</v>
      </c>
      <c r="O26" s="142">
        <f t="shared" si="12"/>
        <v>698.75927001103753</v>
      </c>
      <c r="P26" s="129">
        <f t="shared" si="2"/>
        <v>349.37963500551876</v>
      </c>
      <c r="Q26" s="129">
        <f t="shared" si="3"/>
        <v>-349.37963500551876</v>
      </c>
      <c r="R26" s="45">
        <f t="shared" si="4"/>
        <v>17.442631812878403</v>
      </c>
      <c r="S26" s="129">
        <f>((Panels!$T$94-Panels!$T$93)*N26/Panels!$U$94+Panels!$T$93)/2</f>
        <v>340.65831909907956</v>
      </c>
      <c r="T26" s="129">
        <f t="shared" si="5"/>
        <v>-340.65831909907956</v>
      </c>
      <c r="U26" s="45">
        <f>IF(B27&gt;0,K26,"")</f>
        <v>72.965689153730196</v>
      </c>
      <c r="AA26" s="12" t="str">
        <f>Design!$H$21</f>
        <v>o</v>
      </c>
      <c r="AB26" s="44">
        <f>Path!AA16</f>
        <v>41.76819047753186</v>
      </c>
      <c r="AC26" s="44">
        <f>Path!AB16</f>
        <v>56.503784411143911</v>
      </c>
      <c r="AD26" s="44">
        <f>IF(AA26="x",AB26,0)</f>
        <v>0</v>
      </c>
      <c r="AE26" s="44">
        <f>IF(AA26="x",AC26,0)</f>
        <v>0</v>
      </c>
    </row>
    <row r="27" spans="2:34" s="12" customFormat="1" ht="11.25" x14ac:dyDescent="0.2">
      <c r="B27" s="39">
        <f>B24+1</f>
        <v>9</v>
      </c>
      <c r="C27" s="133">
        <f>C26+(D27-D26)*Panels!S11</f>
        <v>63.731304247561091</v>
      </c>
      <c r="D27" s="134">
        <f>D24</f>
        <v>79.48</v>
      </c>
      <c r="E27" s="135"/>
      <c r="F27" s="134">
        <f>IF(Design!$H$19="x",C27,0)</f>
        <v>0</v>
      </c>
      <c r="G27" s="134">
        <f>IF(Design!$H$19="x",D27,0)</f>
        <v>0</v>
      </c>
      <c r="H27" s="135"/>
      <c r="I27" s="135"/>
      <c r="J27" s="134">
        <f>J26</f>
        <v>63.503958077662631</v>
      </c>
      <c r="K27" s="134">
        <f>K26</f>
        <v>72.965689153730196</v>
      </c>
      <c r="L27" s="139"/>
      <c r="M27" s="134">
        <f t="shared" si="12"/>
        <v>2.2617509431991536</v>
      </c>
      <c r="N27" s="134">
        <f t="shared" si="12"/>
        <v>51.483968067642941</v>
      </c>
      <c r="O27" s="140">
        <f t="shared" si="12"/>
        <v>698.75927001103753</v>
      </c>
      <c r="P27" s="129">
        <f t="shared" si="2"/>
        <v>349.37963500551876</v>
      </c>
      <c r="Q27" s="129">
        <f t="shared" si="3"/>
        <v>-349.37963500551876</v>
      </c>
      <c r="R27" s="45">
        <f t="shared" si="4"/>
        <v>17.442631812878403</v>
      </c>
      <c r="S27" s="129">
        <f>((Panels!$T$94-Panels!$T$93)*N27/Panels!$U$94+Panels!$T$93)/2</f>
        <v>340.65831909907956</v>
      </c>
      <c r="T27" s="129">
        <f t="shared" si="5"/>
        <v>-340.65831909907956</v>
      </c>
      <c r="U27" s="45">
        <f>IF(B27&gt;0,K27,"")</f>
        <v>72.965689153730196</v>
      </c>
      <c r="AA27" s="12" t="str">
        <f>Design!$H$21</f>
        <v>o</v>
      </c>
      <c r="AB27" s="44">
        <f>Panels!C21</f>
        <v>53.199501355319427</v>
      </c>
      <c r="AC27" s="44">
        <f>Panels!D21</f>
        <v>81.28</v>
      </c>
      <c r="AD27" s="44">
        <f>IF(AA27="x",AB27,0)</f>
        <v>0</v>
      </c>
      <c r="AE27" s="44">
        <f>IF(AA27="x",AC27,0)</f>
        <v>0</v>
      </c>
    </row>
    <row r="28" spans="2:34" s="12" customFormat="1" ht="11.25" x14ac:dyDescent="0.2">
      <c r="B28" s="9"/>
      <c r="C28" s="149"/>
      <c r="D28" s="150"/>
      <c r="E28" s="150"/>
      <c r="F28" s="150"/>
      <c r="G28" s="150"/>
      <c r="H28" s="150"/>
      <c r="I28" s="150"/>
      <c r="J28" s="146">
        <f>J27</f>
        <v>63.503958077662631</v>
      </c>
      <c r="K28" s="146">
        <f>K27</f>
        <v>72.965689153730196</v>
      </c>
      <c r="L28" s="147"/>
      <c r="M28" s="134">
        <f>((H26-H23)^2+(I26-I23)^2)^0.5</f>
        <v>1.4847991194450358</v>
      </c>
      <c r="N28" s="134">
        <f>N25+M28</f>
        <v>52.968767187087977</v>
      </c>
      <c r="O28" s="140">
        <f>((C26-C27)^2+(D26-D27)^2)^0.5*Panels!$T$91</f>
        <v>698.75927001103753</v>
      </c>
      <c r="P28" s="129">
        <f t="shared" si="2"/>
        <v>349.37963500551876</v>
      </c>
      <c r="Q28" s="129">
        <f t="shared" si="3"/>
        <v>-349.37963500551876</v>
      </c>
      <c r="R28" s="45">
        <f t="shared" si="4"/>
        <v>12.000717703710279</v>
      </c>
      <c r="S28" s="129">
        <f>((Panels!$T$94-Panels!$T$93)*N28/Panels!$U$94+Panels!$T$93)/2</f>
        <v>343.37927615366362</v>
      </c>
      <c r="T28" s="129">
        <f t="shared" si="5"/>
        <v>-343.37927615366362</v>
      </c>
      <c r="U28" s="45">
        <f>IF(B27&gt;0,K28,"")</f>
        <v>72.965689153730196</v>
      </c>
      <c r="W28" s="45">
        <f>W25+M28</f>
        <v>1.4847991194450358</v>
      </c>
    </row>
    <row r="29" spans="2:34" s="12" customFormat="1" ht="11.25" x14ac:dyDescent="0.2">
      <c r="B29" s="9"/>
      <c r="C29" s="130">
        <f>Panels!C73</f>
        <v>84.225456963220481</v>
      </c>
      <c r="D29" s="131">
        <f>Panels!D73</f>
        <v>64.986492358833758</v>
      </c>
      <c r="E29" s="132"/>
      <c r="F29" s="131">
        <f>IF(Design!$H$19="x",C29,0)</f>
        <v>0</v>
      </c>
      <c r="G29" s="131">
        <f>IF(Design!$H$19="x",D29,0)</f>
        <v>0</v>
      </c>
      <c r="H29" s="131">
        <f>SUM(C29:C30)/2</f>
        <v>84.47836502428575</v>
      </c>
      <c r="I29" s="131">
        <f>SUM(D29:D30)/2</f>
        <v>72.233246179416881</v>
      </c>
      <c r="J29" s="131">
        <f>IF(Design!$H$18="x",H29,0)</f>
        <v>84.47836502428575</v>
      </c>
      <c r="K29" s="131">
        <f>IF(Design!$H$18="x",I29,0)</f>
        <v>72.233246179416881</v>
      </c>
      <c r="L29" s="141"/>
      <c r="M29" s="131">
        <f t="shared" ref="M29:O30" si="13">M28</f>
        <v>1.4847991194450358</v>
      </c>
      <c r="N29" s="131">
        <f t="shared" si="13"/>
        <v>52.968767187087977</v>
      </c>
      <c r="O29" s="142">
        <f t="shared" si="13"/>
        <v>698.75927001103753</v>
      </c>
      <c r="P29" s="129">
        <f t="shared" si="2"/>
        <v>349.37963500551876</v>
      </c>
      <c r="Q29" s="129">
        <f t="shared" si="3"/>
        <v>-349.37963500551876</v>
      </c>
      <c r="R29" s="45">
        <f t="shared" si="4"/>
        <v>12.000717703710279</v>
      </c>
      <c r="S29" s="129">
        <f>((Panels!$T$94-Panels!$T$93)*N29/Panels!$U$94+Panels!$T$93)/2</f>
        <v>343.37927615366362</v>
      </c>
      <c r="T29" s="129">
        <f t="shared" si="5"/>
        <v>-343.37927615366362</v>
      </c>
      <c r="U29" s="45">
        <f>IF(B30&gt;0,K29,"")</f>
        <v>72.233246179416881</v>
      </c>
    </row>
    <row r="30" spans="2:34" s="12" customFormat="1" ht="11.25" x14ac:dyDescent="0.2">
      <c r="B30" s="39">
        <f>B27+1</f>
        <v>10</v>
      </c>
      <c r="C30" s="133">
        <f>C29+(D30-D29)*Panels!S11</f>
        <v>84.731273085351035</v>
      </c>
      <c r="D30" s="134">
        <f>D24</f>
        <v>79.48</v>
      </c>
      <c r="E30" s="135"/>
      <c r="F30" s="134">
        <f>IF(Design!$H$19="x",C30,0)</f>
        <v>0</v>
      </c>
      <c r="G30" s="134">
        <f>IF(Design!$H$19="x",D30,0)</f>
        <v>0</v>
      </c>
      <c r="H30" s="135"/>
      <c r="I30" s="135"/>
      <c r="J30" s="134">
        <f>J29</f>
        <v>84.47836502428575</v>
      </c>
      <c r="K30" s="134">
        <f>K29</f>
        <v>72.233246179416881</v>
      </c>
      <c r="L30" s="139"/>
      <c r="M30" s="134">
        <f t="shared" si="13"/>
        <v>1.4847991194450358</v>
      </c>
      <c r="N30" s="134">
        <f t="shared" si="13"/>
        <v>52.968767187087977</v>
      </c>
      <c r="O30" s="140">
        <f t="shared" si="13"/>
        <v>698.75927001103753</v>
      </c>
      <c r="P30" s="129">
        <f t="shared" si="2"/>
        <v>349.37963500551876</v>
      </c>
      <c r="Q30" s="129">
        <f t="shared" si="3"/>
        <v>-349.37963500551876</v>
      </c>
      <c r="R30" s="45">
        <f t="shared" si="4"/>
        <v>12.000717703710279</v>
      </c>
      <c r="S30" s="129">
        <f>((Panels!$T$94-Panels!$T$93)*N30/Panels!$U$94+Panels!$T$93)/2</f>
        <v>343.37927615366362</v>
      </c>
      <c r="T30" s="129">
        <f t="shared" si="5"/>
        <v>-343.37927615366362</v>
      </c>
      <c r="U30" s="45">
        <f>IF(B30&gt;0,K30,"")</f>
        <v>72.233246179416881</v>
      </c>
    </row>
    <row r="31" spans="2:34" s="12" customFormat="1" ht="11.25" x14ac:dyDescent="0.2">
      <c r="B31" s="9"/>
      <c r="C31" s="149"/>
      <c r="D31" s="150"/>
      <c r="E31" s="150"/>
      <c r="F31" s="150"/>
      <c r="G31" s="150"/>
      <c r="H31" s="150"/>
      <c r="I31" s="150"/>
      <c r="J31" s="146">
        <f>J30</f>
        <v>84.47836502428575</v>
      </c>
      <c r="K31" s="146">
        <f>K30</f>
        <v>72.233246179416881</v>
      </c>
      <c r="L31" s="147"/>
      <c r="M31" s="134">
        <f>((H29-H26)^2+(I29-I26)^2)^0.5</f>
        <v>20.98719179578757</v>
      </c>
      <c r="N31" s="134">
        <f>N28+M31</f>
        <v>73.955958982875543</v>
      </c>
      <c r="O31" s="140">
        <f>((C29-C30)^2+(D29-D30)^2)^0.5*Panels!$T$91</f>
        <v>777.32495871300512</v>
      </c>
      <c r="P31" s="129">
        <f t="shared" si="2"/>
        <v>388.66247935650256</v>
      </c>
      <c r="Q31" s="129">
        <f t="shared" si="3"/>
        <v>-388.66247935650256</v>
      </c>
      <c r="R31" s="45">
        <f t="shared" si="4"/>
        <v>13.646576881531928</v>
      </c>
      <c r="S31" s="129">
        <f>((Panels!$T$94-Panels!$T$93)*N31/Panels!$U$94+Panels!$T$93)/2</f>
        <v>381.83919091573659</v>
      </c>
      <c r="T31" s="129">
        <f t="shared" si="5"/>
        <v>-381.83919091573659</v>
      </c>
      <c r="U31" s="45">
        <f>IF(B30&gt;0,K31,"")</f>
        <v>72.233246179416881</v>
      </c>
      <c r="W31" s="45">
        <f>W28+M31</f>
        <v>22.471990915232606</v>
      </c>
    </row>
    <row r="32" spans="2:34" s="12" customFormat="1" ht="11.25" x14ac:dyDescent="0.2">
      <c r="B32" s="9"/>
      <c r="C32" s="133">
        <f>C29</f>
        <v>84.225456963220481</v>
      </c>
      <c r="D32" s="134">
        <f>D29</f>
        <v>64.986492358833758</v>
      </c>
      <c r="E32" s="135"/>
      <c r="F32" s="131">
        <f>IF(Design!$H$19="x",C32,0)</f>
        <v>0</v>
      </c>
      <c r="G32" s="131">
        <f>IF(Design!$H$19="x",D32,0)</f>
        <v>0</v>
      </c>
      <c r="H32" s="131">
        <f>SUM(C32:C33)/2</f>
        <v>88.245546752948002</v>
      </c>
      <c r="I32" s="131">
        <f>SUM(D32:D33)/2</f>
        <v>72.233246179416881</v>
      </c>
      <c r="J32" s="131">
        <f>IF(Design!$H$18="x",H32,0)</f>
        <v>88.245546752948002</v>
      </c>
      <c r="K32" s="131">
        <f>IF(Design!$H$18="x",I32,0)</f>
        <v>72.233246179416881</v>
      </c>
      <c r="L32" s="141"/>
      <c r="M32" s="131">
        <f t="shared" ref="M32:O33" si="14">M31</f>
        <v>20.98719179578757</v>
      </c>
      <c r="N32" s="131">
        <f t="shared" si="14"/>
        <v>73.955958982875543</v>
      </c>
      <c r="O32" s="142">
        <f t="shared" si="14"/>
        <v>777.32495871300512</v>
      </c>
      <c r="P32" s="129">
        <f t="shared" si="2"/>
        <v>388.66247935650256</v>
      </c>
      <c r="Q32" s="129">
        <f t="shared" si="3"/>
        <v>-388.66247935650256</v>
      </c>
      <c r="R32" s="45">
        <f t="shared" si="4"/>
        <v>13.646576881531928</v>
      </c>
      <c r="S32" s="129">
        <f>((Panels!$T$94-Panels!$T$93)*N32/Panels!$U$94+Panels!$T$93)/2</f>
        <v>381.83919091573659</v>
      </c>
      <c r="T32" s="129">
        <f t="shared" si="5"/>
        <v>-381.83919091573659</v>
      </c>
      <c r="U32" s="45">
        <f>IF(B33&gt;0,K32,"")</f>
        <v>72.233246179416881</v>
      </c>
      <c r="W32" s="45"/>
    </row>
    <row r="33" spans="2:23" s="12" customFormat="1" ht="11.25" x14ac:dyDescent="0.2">
      <c r="B33" s="39">
        <f>B30+1</f>
        <v>11</v>
      </c>
      <c r="C33" s="133">
        <f>(C30+Panels!C39)/2</f>
        <v>92.265636542675509</v>
      </c>
      <c r="D33" s="134">
        <f>D30</f>
        <v>79.48</v>
      </c>
      <c r="E33" s="135"/>
      <c r="F33" s="134">
        <f>IF(Design!$H$19="x",C33,0)</f>
        <v>0</v>
      </c>
      <c r="G33" s="134">
        <f>IF(Design!$H$19="x",D33,0)</f>
        <v>0</v>
      </c>
      <c r="H33" s="135"/>
      <c r="I33" s="135"/>
      <c r="J33" s="134">
        <f>J32</f>
        <v>88.245546752948002</v>
      </c>
      <c r="K33" s="134">
        <f>K32</f>
        <v>72.233246179416881</v>
      </c>
      <c r="L33" s="139"/>
      <c r="M33" s="134">
        <f t="shared" si="14"/>
        <v>20.98719179578757</v>
      </c>
      <c r="N33" s="134">
        <f t="shared" si="14"/>
        <v>73.955958982875543</v>
      </c>
      <c r="O33" s="140">
        <f t="shared" si="14"/>
        <v>777.32495871300512</v>
      </c>
      <c r="P33" s="129">
        <f t="shared" si="2"/>
        <v>388.66247935650256</v>
      </c>
      <c r="Q33" s="129">
        <f t="shared" si="3"/>
        <v>-388.66247935650256</v>
      </c>
      <c r="R33" s="45">
        <f t="shared" si="4"/>
        <v>13.646576881531928</v>
      </c>
      <c r="S33" s="129">
        <f>((Panels!$T$94-Panels!$T$93)*N33/Panels!$U$94+Panels!$T$93)/2</f>
        <v>381.83919091573659</v>
      </c>
      <c r="T33" s="129">
        <f t="shared" si="5"/>
        <v>-381.83919091573659</v>
      </c>
      <c r="U33" s="45">
        <f>IF(B33&gt;0,K33,"")</f>
        <v>72.233246179416881</v>
      </c>
    </row>
    <row r="34" spans="2:23" s="12" customFormat="1" ht="11.25" x14ac:dyDescent="0.2">
      <c r="B34" s="9"/>
      <c r="C34" s="148"/>
      <c r="D34" s="135"/>
      <c r="E34" s="135"/>
      <c r="F34" s="150"/>
      <c r="G34" s="150"/>
      <c r="H34" s="150"/>
      <c r="I34" s="150"/>
      <c r="J34" s="146">
        <f>J33</f>
        <v>88.245546752948002</v>
      </c>
      <c r="K34" s="146">
        <f>K33</f>
        <v>72.233246179416881</v>
      </c>
      <c r="L34" s="147"/>
      <c r="M34" s="134">
        <f>((H32-H29)^2+(I32-I29)^2)^0.5</f>
        <v>3.7671817286622513</v>
      </c>
      <c r="N34" s="134">
        <f>N31+M34</f>
        <v>77.723140711537795</v>
      </c>
      <c r="O34" s="140">
        <f>((C32-C33)^2+(D32-D33)^2)^0.5*Panels!$T$91</f>
        <v>888.38058964815355</v>
      </c>
      <c r="P34" s="129">
        <f t="shared" si="2"/>
        <v>444.19029482407677</v>
      </c>
      <c r="Q34" s="129">
        <f t="shared" si="3"/>
        <v>-444.19029482407677</v>
      </c>
      <c r="R34" s="45">
        <f t="shared" si="4"/>
        <v>110.89516878188488</v>
      </c>
      <c r="S34" s="129">
        <f>((Panels!$T$94-Panels!$T$93)*N34/Panels!$U$94+Panels!$T$93)/2</f>
        <v>388.74271043313433</v>
      </c>
      <c r="T34" s="129">
        <f t="shared" si="5"/>
        <v>-388.74271043313433</v>
      </c>
      <c r="U34" s="45">
        <f>IF(B33&gt;0,K34,"")</f>
        <v>72.233246179416881</v>
      </c>
      <c r="W34" s="45">
        <f>W31+M34</f>
        <v>26.239172643894857</v>
      </c>
    </row>
    <row r="35" spans="2:23" s="12" customFormat="1" ht="11.25" x14ac:dyDescent="0.2">
      <c r="B35" s="9"/>
      <c r="C35" s="130">
        <f>C32</f>
        <v>84.225456963220481</v>
      </c>
      <c r="D35" s="131">
        <f>D32</f>
        <v>64.986492358833758</v>
      </c>
      <c r="E35" s="132"/>
      <c r="F35" s="131">
        <f>IF(Design!$H$19="x",C35,0)</f>
        <v>0</v>
      </c>
      <c r="G35" s="131">
        <f>IF(Design!$H$19="x",D35,0)</f>
        <v>0</v>
      </c>
      <c r="H35" s="131">
        <f>SUM(C35:C36)/2</f>
        <v>92.012728481610239</v>
      </c>
      <c r="I35" s="131">
        <f>SUM(D35:D36)/2</f>
        <v>68.609869269125312</v>
      </c>
      <c r="J35" s="131">
        <f>IF(Design!$H$18="x",H35,0)</f>
        <v>92.012728481610239</v>
      </c>
      <c r="K35" s="131">
        <f>IF(Design!$H$18="x",I35,0)</f>
        <v>68.609869269125312</v>
      </c>
      <c r="L35" s="141"/>
      <c r="M35" s="131">
        <f t="shared" ref="M35:O36" si="15">M34</f>
        <v>3.7671817286622513</v>
      </c>
      <c r="N35" s="131">
        <f t="shared" si="15"/>
        <v>77.723140711537795</v>
      </c>
      <c r="O35" s="142">
        <f t="shared" si="15"/>
        <v>888.38058964815355</v>
      </c>
      <c r="P35" s="129">
        <f t="shared" si="2"/>
        <v>444.19029482407677</v>
      </c>
      <c r="Q35" s="129">
        <f t="shared" si="3"/>
        <v>-444.19029482407677</v>
      </c>
      <c r="R35" s="45">
        <f t="shared" si="4"/>
        <v>110.89516878188488</v>
      </c>
      <c r="S35" s="129">
        <f>((Panels!$T$94-Panels!$T$93)*N35/Panels!$U$94+Panels!$T$93)/2</f>
        <v>388.74271043313433</v>
      </c>
      <c r="T35" s="129">
        <f t="shared" si="5"/>
        <v>-388.74271043313433</v>
      </c>
      <c r="U35" s="45">
        <f>IF(B36&gt;0,K35,"")</f>
        <v>68.609869269125312</v>
      </c>
    </row>
    <row r="36" spans="2:23" s="12" customFormat="1" ht="11.25" x14ac:dyDescent="0.2">
      <c r="B36" s="39">
        <f>B33+1</f>
        <v>12</v>
      </c>
      <c r="C36" s="133">
        <f>Panels!C39</f>
        <v>99.8</v>
      </c>
      <c r="D36" s="134">
        <f>(D32+D33)/2</f>
        <v>72.233246179416881</v>
      </c>
      <c r="E36" s="135"/>
      <c r="F36" s="134">
        <f>IF(Design!$H$19="x",C36,0)</f>
        <v>0</v>
      </c>
      <c r="G36" s="134">
        <f>IF(Design!$H$19="x",D36,0)</f>
        <v>0</v>
      </c>
      <c r="H36" s="134"/>
      <c r="I36" s="134"/>
      <c r="J36" s="134">
        <f>J35</f>
        <v>92.012728481610239</v>
      </c>
      <c r="K36" s="134">
        <f>K35</f>
        <v>68.609869269125312</v>
      </c>
      <c r="L36" s="139"/>
      <c r="M36" s="134">
        <f t="shared" si="15"/>
        <v>3.7671817286622513</v>
      </c>
      <c r="N36" s="134">
        <f t="shared" si="15"/>
        <v>77.723140711537795</v>
      </c>
      <c r="O36" s="140">
        <f t="shared" si="15"/>
        <v>888.38058964815355</v>
      </c>
      <c r="P36" s="129">
        <f t="shared" si="2"/>
        <v>444.19029482407677</v>
      </c>
      <c r="Q36" s="129">
        <f t="shared" si="3"/>
        <v>-444.19029482407677</v>
      </c>
      <c r="R36" s="45">
        <f t="shared" si="4"/>
        <v>110.89516878188488</v>
      </c>
      <c r="S36" s="129">
        <f>((Panels!$T$94-Panels!$T$93)*N36/Panels!$U$94+Panels!$T$93)/2</f>
        <v>388.74271043313433</v>
      </c>
      <c r="T36" s="129">
        <f t="shared" si="5"/>
        <v>-388.74271043313433</v>
      </c>
      <c r="U36" s="45">
        <f>IF(B36&gt;0,K36,"")</f>
        <v>68.609869269125312</v>
      </c>
      <c r="W36" s="45"/>
    </row>
    <row r="37" spans="2:23" s="12" customFormat="1" ht="11.25" x14ac:dyDescent="0.2">
      <c r="B37" s="9"/>
      <c r="C37" s="149"/>
      <c r="D37" s="150"/>
      <c r="E37" s="150"/>
      <c r="F37" s="145"/>
      <c r="G37" s="146"/>
      <c r="H37" s="146"/>
      <c r="I37" s="146"/>
      <c r="J37" s="146">
        <f>J36</f>
        <v>92.012728481610239</v>
      </c>
      <c r="K37" s="146">
        <f>K36</f>
        <v>68.609869269125312</v>
      </c>
      <c r="L37" s="147"/>
      <c r="M37" s="134">
        <f>((H35-H32)^2+(I35-I32)^2)^0.5</f>
        <v>5.2269033290085511</v>
      </c>
      <c r="N37" s="134">
        <f>N34+M37</f>
        <v>82.950044040546345</v>
      </c>
      <c r="O37" s="140">
        <f>((C35-C36)^2+(D35-D36)^2)^0.5*Panels!$T$91</f>
        <v>920.73791022069372</v>
      </c>
      <c r="P37" s="129">
        <f t="shared" ref="P37:P68" si="16">O37/2</f>
        <v>460.36895511034686</v>
      </c>
      <c r="Q37" s="129">
        <f t="shared" ref="Q37:Q68" si="17">-P37</f>
        <v>-460.36895511034686</v>
      </c>
      <c r="R37" s="45">
        <f t="shared" ref="R37:R68" si="18">(P37-S37)*2</f>
        <v>124.09544743482775</v>
      </c>
      <c r="S37" s="129">
        <f>((Panels!$T$94-Panels!$T$93)*N37/Panels!$U$94+Panels!$T$93)/2</f>
        <v>398.32123139293299</v>
      </c>
      <c r="T37" s="129">
        <f t="shared" ref="T37:T68" si="19">-S37</f>
        <v>-398.32123139293299</v>
      </c>
      <c r="U37" s="45">
        <f>IF(B36&gt;0,K37,"")</f>
        <v>68.609869269125312</v>
      </c>
      <c r="W37" s="45">
        <f>W34+M37</f>
        <v>31.466075972903408</v>
      </c>
    </row>
    <row r="38" spans="2:23" s="12" customFormat="1" ht="11.25" x14ac:dyDescent="0.2">
      <c r="B38" s="9"/>
      <c r="C38" s="130">
        <f>C35</f>
        <v>84.225456963220481</v>
      </c>
      <c r="D38" s="131">
        <f>D35</f>
        <v>64.986492358833758</v>
      </c>
      <c r="E38" s="132"/>
      <c r="F38" s="131">
        <f>IF(Design!$H$19="x",C38,0)</f>
        <v>0</v>
      </c>
      <c r="G38" s="131">
        <f>IF(Design!$H$19="x",D38,0)</f>
        <v>0</v>
      </c>
      <c r="H38" s="131">
        <f>SUM(C38:C39)/2</f>
        <v>92.012728481610239</v>
      </c>
      <c r="I38" s="131">
        <f>SUM(D38:D39)/2</f>
        <v>64.71472050215624</v>
      </c>
      <c r="J38" s="131">
        <f>IF(Design!$H$18="x",H38,0)</f>
        <v>92.012728481610239</v>
      </c>
      <c r="K38" s="131">
        <f>IF(Design!$H$18="x",I38,0)</f>
        <v>64.71472050215624</v>
      </c>
      <c r="L38" s="141"/>
      <c r="M38" s="131">
        <f t="shared" ref="M38:O39" si="20">M37</f>
        <v>5.2269033290085511</v>
      </c>
      <c r="N38" s="131">
        <f t="shared" si="20"/>
        <v>82.950044040546345</v>
      </c>
      <c r="O38" s="142">
        <f t="shared" si="20"/>
        <v>920.73791022069372</v>
      </c>
      <c r="P38" s="129">
        <f t="shared" si="16"/>
        <v>460.36895511034686</v>
      </c>
      <c r="Q38" s="129">
        <f t="shared" si="17"/>
        <v>-460.36895511034686</v>
      </c>
      <c r="R38" s="45">
        <f t="shared" si="18"/>
        <v>124.09544743482775</v>
      </c>
      <c r="S38" s="129">
        <f>((Panels!$T$94-Panels!$T$93)*N38/Panels!$U$94+Panels!$T$93)/2</f>
        <v>398.32123139293299</v>
      </c>
      <c r="T38" s="129">
        <f t="shared" si="19"/>
        <v>-398.32123139293299</v>
      </c>
      <c r="U38" s="45">
        <f>IF(B39&gt;0,K38,"")</f>
        <v>64.71472050215624</v>
      </c>
    </row>
    <row r="39" spans="2:23" s="12" customFormat="1" ht="11.25" x14ac:dyDescent="0.2">
      <c r="B39" s="39">
        <f>B36+1</f>
        <v>13</v>
      </c>
      <c r="C39" s="133">
        <f>C36</f>
        <v>99.8</v>
      </c>
      <c r="D39" s="134">
        <f>D38-(C39-C38)*Panels!S11</f>
        <v>64.442948645478708</v>
      </c>
      <c r="E39" s="135"/>
      <c r="F39" s="134">
        <f>IF(Design!$H$19="x",C39,0)</f>
        <v>0</v>
      </c>
      <c r="G39" s="134">
        <f>IF(Design!$H$19="x",D39,0)</f>
        <v>0</v>
      </c>
      <c r="H39" s="135"/>
      <c r="I39" s="135"/>
      <c r="J39" s="134">
        <f>J38</f>
        <v>92.012728481610239</v>
      </c>
      <c r="K39" s="134">
        <f>K38</f>
        <v>64.71472050215624</v>
      </c>
      <c r="L39" s="139"/>
      <c r="M39" s="134">
        <f t="shared" si="20"/>
        <v>5.2269033290085511</v>
      </c>
      <c r="N39" s="134">
        <f t="shared" si="20"/>
        <v>82.950044040546345</v>
      </c>
      <c r="O39" s="140">
        <f t="shared" si="20"/>
        <v>920.73791022069372</v>
      </c>
      <c r="P39" s="129">
        <f t="shared" si="16"/>
        <v>460.36895511034686</v>
      </c>
      <c r="Q39" s="129">
        <f t="shared" si="17"/>
        <v>-460.36895511034686</v>
      </c>
      <c r="R39" s="45">
        <f t="shared" si="18"/>
        <v>124.09544743482775</v>
      </c>
      <c r="S39" s="129">
        <f>((Panels!$T$94-Panels!$T$93)*N39/Panels!$U$94+Panels!$T$93)/2</f>
        <v>398.32123139293299</v>
      </c>
      <c r="T39" s="129">
        <f t="shared" si="19"/>
        <v>-398.32123139293299</v>
      </c>
      <c r="U39" s="45">
        <f>IF(B39&gt;0,K39,"")</f>
        <v>64.71472050215624</v>
      </c>
    </row>
    <row r="40" spans="2:23" s="12" customFormat="1" ht="11.25" x14ac:dyDescent="0.2">
      <c r="B40" s="9"/>
      <c r="C40" s="149"/>
      <c r="D40" s="150"/>
      <c r="E40" s="150"/>
      <c r="F40" s="150"/>
      <c r="G40" s="150"/>
      <c r="H40" s="150"/>
      <c r="I40" s="150"/>
      <c r="J40" s="146">
        <f>J39</f>
        <v>92.012728481610239</v>
      </c>
      <c r="K40" s="146">
        <f>K39</f>
        <v>64.71472050215624</v>
      </c>
      <c r="L40" s="147"/>
      <c r="M40" s="134">
        <f>((H38-H35)^2+(I38-I35)^2)^0.5</f>
        <v>3.8951487669690721</v>
      </c>
      <c r="N40" s="134">
        <f>N37+M40</f>
        <v>86.845192807515417</v>
      </c>
      <c r="O40" s="140">
        <f>((C38-C39)^2+(D38-D39)^2)^0.5*Panels!$T$91</f>
        <v>835.30373204152727</v>
      </c>
      <c r="P40" s="129">
        <f t="shared" si="16"/>
        <v>417.65186602076363</v>
      </c>
      <c r="Q40" s="129">
        <f t="shared" si="17"/>
        <v>-417.65186602076363</v>
      </c>
      <c r="R40" s="45">
        <f t="shared" si="18"/>
        <v>24.38522022338509</v>
      </c>
      <c r="S40" s="129">
        <f>((Panels!$T$94-Panels!$T$93)*N40/Panels!$U$94+Panels!$T$93)/2</f>
        <v>405.45925590907109</v>
      </c>
      <c r="T40" s="129">
        <f t="shared" si="19"/>
        <v>-405.45925590907109</v>
      </c>
      <c r="U40" s="45">
        <f>IF(B39&gt;0,K40,"")</f>
        <v>64.71472050215624</v>
      </c>
      <c r="W40" s="45">
        <f>W37+M40</f>
        <v>35.361224739872483</v>
      </c>
    </row>
    <row r="41" spans="2:23" s="12" customFormat="1" ht="11.25" x14ac:dyDescent="0.2">
      <c r="B41" s="9"/>
      <c r="C41" s="130">
        <f>C38</f>
        <v>84.225456963220481</v>
      </c>
      <c r="D41" s="131">
        <f>Panels!D74</f>
        <v>63.190877068366071</v>
      </c>
      <c r="E41" s="132"/>
      <c r="F41" s="131">
        <f>IF(Design!$H$19="x",C41,0)</f>
        <v>0</v>
      </c>
      <c r="G41" s="131">
        <f>IF(Design!$H$19="x",D41,0)</f>
        <v>0</v>
      </c>
      <c r="H41" s="131">
        <f>SUM(C41:C42)/2</f>
        <v>92.012728481610239</v>
      </c>
      <c r="I41" s="131">
        <f>SUM(D41:D42)/2</f>
        <v>62.919105211688546</v>
      </c>
      <c r="J41" s="131">
        <f>IF(Design!$H$18="x",H41,0)</f>
        <v>92.012728481610239</v>
      </c>
      <c r="K41" s="131">
        <f>IF(Design!$H$18="x",I41,0)</f>
        <v>62.919105211688546</v>
      </c>
      <c r="L41" s="141"/>
      <c r="M41" s="131">
        <f t="shared" ref="M41:O42" si="21">M40</f>
        <v>3.8951487669690721</v>
      </c>
      <c r="N41" s="131">
        <f t="shared" si="21"/>
        <v>86.845192807515417</v>
      </c>
      <c r="O41" s="142">
        <f t="shared" si="21"/>
        <v>835.30373204152727</v>
      </c>
      <c r="P41" s="129">
        <f t="shared" si="16"/>
        <v>417.65186602076363</v>
      </c>
      <c r="Q41" s="129">
        <f t="shared" si="17"/>
        <v>-417.65186602076363</v>
      </c>
      <c r="R41" s="45">
        <f t="shared" si="18"/>
        <v>24.38522022338509</v>
      </c>
      <c r="S41" s="129">
        <f>((Panels!$T$94-Panels!$T$93)*N41/Panels!$U$94+Panels!$T$93)/2</f>
        <v>405.45925590907109</v>
      </c>
      <c r="T41" s="129">
        <f t="shared" si="19"/>
        <v>-405.45925590907109</v>
      </c>
      <c r="U41" s="45">
        <f>IF(B42&gt;0,K41,"")</f>
        <v>62.919105211688546</v>
      </c>
    </row>
    <row r="42" spans="2:23" s="12" customFormat="1" ht="11.25" x14ac:dyDescent="0.2">
      <c r="B42" s="39">
        <f>B39+1</f>
        <v>14</v>
      </c>
      <c r="C42" s="133">
        <f>C39</f>
        <v>99.8</v>
      </c>
      <c r="D42" s="134">
        <f>D41-(C39-C38)*Panels!S11</f>
        <v>62.647333355011021</v>
      </c>
      <c r="E42" s="135"/>
      <c r="F42" s="134">
        <f>IF(Design!$H$19="x",C42,0)</f>
        <v>0</v>
      </c>
      <c r="G42" s="134">
        <f>IF(Design!$H$19="x",D42,0)</f>
        <v>0</v>
      </c>
      <c r="H42" s="135"/>
      <c r="I42" s="135"/>
      <c r="J42" s="134">
        <f>J41</f>
        <v>92.012728481610239</v>
      </c>
      <c r="K42" s="134">
        <f>K41</f>
        <v>62.919105211688546</v>
      </c>
      <c r="L42" s="139"/>
      <c r="M42" s="134">
        <f t="shared" si="21"/>
        <v>3.8951487669690721</v>
      </c>
      <c r="N42" s="134">
        <f t="shared" si="21"/>
        <v>86.845192807515417</v>
      </c>
      <c r="O42" s="140">
        <f t="shared" si="21"/>
        <v>835.30373204152727</v>
      </c>
      <c r="P42" s="129">
        <f t="shared" si="16"/>
        <v>417.65186602076363</v>
      </c>
      <c r="Q42" s="129">
        <f t="shared" si="17"/>
        <v>-417.65186602076363</v>
      </c>
      <c r="R42" s="45">
        <f t="shared" si="18"/>
        <v>24.38522022338509</v>
      </c>
      <c r="S42" s="129">
        <f>((Panels!$T$94-Panels!$T$93)*N42/Panels!$U$94+Panels!$T$93)/2</f>
        <v>405.45925590907109</v>
      </c>
      <c r="T42" s="129">
        <f t="shared" si="19"/>
        <v>-405.45925590907109</v>
      </c>
      <c r="U42" s="45">
        <f>IF(B42&gt;0,K42,"")</f>
        <v>62.919105211688546</v>
      </c>
    </row>
    <row r="43" spans="2:23" s="12" customFormat="1" ht="11.25" x14ac:dyDescent="0.2">
      <c r="B43" s="9"/>
      <c r="C43" s="149"/>
      <c r="D43" s="150"/>
      <c r="E43" s="150"/>
      <c r="F43" s="150"/>
      <c r="G43" s="150"/>
      <c r="H43" s="150"/>
      <c r="I43" s="150"/>
      <c r="J43" s="146">
        <f>J42</f>
        <v>92.012728481610239</v>
      </c>
      <c r="K43" s="146">
        <f>K42</f>
        <v>62.919105211688546</v>
      </c>
      <c r="L43" s="147"/>
      <c r="M43" s="134">
        <f>((H41-H38)^2+(I41-I38)^2)^0.5</f>
        <v>1.7956152904676941</v>
      </c>
      <c r="N43" s="134">
        <f>N40+M43</f>
        <v>88.640808097983111</v>
      </c>
      <c r="O43" s="140">
        <f>((C41-C42)^2+(D41-D42)^2)^0.5*Panels!$T$91</f>
        <v>835.30373204152727</v>
      </c>
      <c r="P43" s="129">
        <f t="shared" si="16"/>
        <v>417.65186602076363</v>
      </c>
      <c r="Q43" s="129">
        <f t="shared" si="17"/>
        <v>-417.65186602076363</v>
      </c>
      <c r="R43" s="45">
        <f t="shared" si="18"/>
        <v>17.804138610482255</v>
      </c>
      <c r="S43" s="129">
        <f>((Panels!$T$94-Panels!$T$93)*N43/Panels!$U$94+Panels!$T$93)/2</f>
        <v>408.74979671552251</v>
      </c>
      <c r="T43" s="129">
        <f t="shared" si="19"/>
        <v>-408.74979671552251</v>
      </c>
      <c r="U43" s="45">
        <f>IF(B42&gt;0,K43,"")</f>
        <v>62.919105211688546</v>
      </c>
      <c r="W43" s="45">
        <f>W40+M43</f>
        <v>37.156840030340177</v>
      </c>
    </row>
    <row r="44" spans="2:23" s="12" customFormat="1" ht="11.25" x14ac:dyDescent="0.2">
      <c r="B44" s="9"/>
      <c r="C44" s="130">
        <f>C41</f>
        <v>84.225456963220481</v>
      </c>
      <c r="D44" s="131">
        <f>D41</f>
        <v>63.190877068366071</v>
      </c>
      <c r="E44" s="132"/>
      <c r="F44" s="131">
        <f>IF(Design!$H$19="x",C44,0)</f>
        <v>0</v>
      </c>
      <c r="G44" s="131">
        <f>IF(Design!$H$19="x",D44,0)</f>
        <v>0</v>
      </c>
      <c r="H44" s="131">
        <f>SUM(C44:C45)/2</f>
        <v>92.012728481610239</v>
      </c>
      <c r="I44" s="131">
        <f>SUM(D44:D45)/2</f>
        <v>59.057271872935786</v>
      </c>
      <c r="J44" s="131">
        <f>IF(Design!$H$18="x",H44,0)</f>
        <v>92.012728481610239</v>
      </c>
      <c r="K44" s="131">
        <f>IF(Design!$H$18="x",I44,0)</f>
        <v>59.057271872935786</v>
      </c>
      <c r="L44" s="141"/>
      <c r="M44" s="131">
        <f t="shared" ref="M44:O45" si="22">M43</f>
        <v>1.7956152904676941</v>
      </c>
      <c r="N44" s="131">
        <f t="shared" si="22"/>
        <v>88.640808097983111</v>
      </c>
      <c r="O44" s="142">
        <f t="shared" si="22"/>
        <v>835.30373204152727</v>
      </c>
      <c r="P44" s="129">
        <f t="shared" si="16"/>
        <v>417.65186602076363</v>
      </c>
      <c r="Q44" s="129">
        <f t="shared" si="17"/>
        <v>-417.65186602076363</v>
      </c>
      <c r="R44" s="45">
        <f t="shared" si="18"/>
        <v>17.804138610482255</v>
      </c>
      <c r="S44" s="129">
        <f>((Panels!$T$94-Panels!$T$93)*N44/Panels!$U$94+Panels!$T$93)/2</f>
        <v>408.74979671552251</v>
      </c>
      <c r="T44" s="129">
        <f t="shared" si="19"/>
        <v>-408.74979671552251</v>
      </c>
      <c r="U44" s="45">
        <f>IF(B45&gt;0,K44,"")</f>
        <v>59.057271872935786</v>
      </c>
      <c r="W44" s="45"/>
    </row>
    <row r="45" spans="2:23" s="12" customFormat="1" ht="11.25" x14ac:dyDescent="0.2">
      <c r="B45" s="39">
        <f>B42+1</f>
        <v>15</v>
      </c>
      <c r="C45" s="133">
        <f>C42</f>
        <v>99.8</v>
      </c>
      <c r="D45" s="134">
        <f>(D42+Panels!D87)/2</f>
        <v>54.923666677505508</v>
      </c>
      <c r="E45" s="135"/>
      <c r="F45" s="134">
        <f>IF(Design!$H$19="x",C45,0)</f>
        <v>0</v>
      </c>
      <c r="G45" s="134">
        <f>IF(Design!$H$19="x",D45,0)</f>
        <v>0</v>
      </c>
      <c r="H45" s="135"/>
      <c r="I45" s="135"/>
      <c r="J45" s="134">
        <f>J44</f>
        <v>92.012728481610239</v>
      </c>
      <c r="K45" s="134">
        <f>K44</f>
        <v>59.057271872935786</v>
      </c>
      <c r="L45" s="139"/>
      <c r="M45" s="134">
        <f t="shared" si="22"/>
        <v>1.7956152904676941</v>
      </c>
      <c r="N45" s="134">
        <f t="shared" si="22"/>
        <v>88.640808097983111</v>
      </c>
      <c r="O45" s="140">
        <f t="shared" si="22"/>
        <v>835.30373204152727</v>
      </c>
      <c r="P45" s="129">
        <f t="shared" si="16"/>
        <v>417.65186602076363</v>
      </c>
      <c r="Q45" s="129">
        <f t="shared" si="17"/>
        <v>-417.65186602076363</v>
      </c>
      <c r="R45" s="45">
        <f t="shared" si="18"/>
        <v>17.804138610482255</v>
      </c>
      <c r="S45" s="129">
        <f>((Panels!$T$94-Panels!$T$93)*N45/Panels!$U$94+Panels!$T$93)/2</f>
        <v>408.74979671552251</v>
      </c>
      <c r="T45" s="129">
        <f t="shared" si="19"/>
        <v>-408.74979671552251</v>
      </c>
      <c r="U45" s="45">
        <f>IF(B45&gt;0,K45,"")</f>
        <v>59.057271872935786</v>
      </c>
    </row>
    <row r="46" spans="2:23" s="12" customFormat="1" ht="11.25" x14ac:dyDescent="0.2">
      <c r="B46" s="9"/>
      <c r="C46" s="149"/>
      <c r="D46" s="150"/>
      <c r="E46" s="150"/>
      <c r="F46" s="150"/>
      <c r="G46" s="150"/>
      <c r="H46" s="150"/>
      <c r="I46" s="150"/>
      <c r="J46" s="146">
        <f>J45</f>
        <v>92.012728481610239</v>
      </c>
      <c r="K46" s="146">
        <f>K45</f>
        <v>59.057271872935786</v>
      </c>
      <c r="L46" s="147"/>
      <c r="M46" s="134">
        <f>((H44-H41)^2+(I44-I41)^2)^0.5</f>
        <v>3.8618333387527599</v>
      </c>
      <c r="N46" s="134">
        <f>N43+M46</f>
        <v>92.502641436735871</v>
      </c>
      <c r="O46" s="140">
        <f>((C44-C45)^2+(D44-D45)^2)^0.5*Panels!$T$91</f>
        <v>945.11431462236544</v>
      </c>
      <c r="P46" s="129">
        <f t="shared" si="16"/>
        <v>472.55715731118272</v>
      </c>
      <c r="Q46" s="129">
        <f t="shared" si="17"/>
        <v>-472.55715731118272</v>
      </c>
      <c r="R46" s="45">
        <f t="shared" si="18"/>
        <v>113.46077601571335</v>
      </c>
      <c r="S46" s="129">
        <f>((Panels!$T$94-Panels!$T$93)*N46/Panels!$U$94+Panels!$T$93)/2</f>
        <v>415.82676930332605</v>
      </c>
      <c r="T46" s="129">
        <f t="shared" si="19"/>
        <v>-415.82676930332605</v>
      </c>
      <c r="U46" s="45">
        <f>IF(B45&gt;0,K46,"")</f>
        <v>59.057271872935786</v>
      </c>
      <c r="W46" s="45">
        <f>W43+M46</f>
        <v>41.018673369092937</v>
      </c>
    </row>
    <row r="47" spans="2:23" s="12" customFormat="1" ht="11.25" x14ac:dyDescent="0.2">
      <c r="B47" s="9"/>
      <c r="C47" s="130">
        <f>C44</f>
        <v>84.225456963220481</v>
      </c>
      <c r="D47" s="131">
        <f>D44</f>
        <v>63.190877068366071</v>
      </c>
      <c r="E47" s="132"/>
      <c r="F47" s="131">
        <f>IF(Design!$H$19="x",C47,0)</f>
        <v>0</v>
      </c>
      <c r="G47" s="131">
        <f>IF(Design!$H$19="x",D47,0)</f>
        <v>0</v>
      </c>
      <c r="H47" s="131">
        <f>SUM(C47:C48)/2</f>
        <v>88.11909272241536</v>
      </c>
      <c r="I47" s="131">
        <f>SUM(D47:D48)/2</f>
        <v>55.195438534183033</v>
      </c>
      <c r="J47" s="131">
        <f>IF(Design!$H$18="x",H47,0)</f>
        <v>88.11909272241536</v>
      </c>
      <c r="K47" s="131">
        <f>IF(Design!$H$18="x",I47,0)</f>
        <v>55.195438534183033</v>
      </c>
      <c r="L47" s="141"/>
      <c r="M47" s="131">
        <f t="shared" ref="M47:O48" si="23">M46</f>
        <v>3.8618333387527599</v>
      </c>
      <c r="N47" s="131">
        <f t="shared" si="23"/>
        <v>92.502641436735871</v>
      </c>
      <c r="O47" s="142">
        <f t="shared" si="23"/>
        <v>945.11431462236544</v>
      </c>
      <c r="P47" s="129">
        <f t="shared" si="16"/>
        <v>472.55715731118272</v>
      </c>
      <c r="Q47" s="129">
        <f t="shared" si="17"/>
        <v>-472.55715731118272</v>
      </c>
      <c r="R47" s="45">
        <f t="shared" si="18"/>
        <v>113.46077601571335</v>
      </c>
      <c r="S47" s="129">
        <f>((Panels!$T$94-Panels!$T$93)*N47/Panels!$U$94+Panels!$T$93)/2</f>
        <v>415.82676930332605</v>
      </c>
      <c r="T47" s="129">
        <f t="shared" si="19"/>
        <v>-415.82676930332605</v>
      </c>
      <c r="U47" s="45">
        <f>IF(B48&gt;0,K47,"")</f>
        <v>55.195438534183033</v>
      </c>
    </row>
    <row r="48" spans="2:23" s="12" customFormat="1" ht="11.25" x14ac:dyDescent="0.2">
      <c r="B48" s="39">
        <f>B45+1</f>
        <v>16</v>
      </c>
      <c r="C48" s="133">
        <f>(C44+C45)/2</f>
        <v>92.012728481610239</v>
      </c>
      <c r="D48" s="134">
        <f>Panels!D87</f>
        <v>47.199999999999996</v>
      </c>
      <c r="E48" s="135"/>
      <c r="F48" s="134">
        <f>IF(Design!$H$19="x",C48,0)</f>
        <v>0</v>
      </c>
      <c r="G48" s="134">
        <f>IF(Design!$H$19="x",D48,0)</f>
        <v>0</v>
      </c>
      <c r="H48" s="137"/>
      <c r="I48" s="138"/>
      <c r="J48" s="134">
        <f>J47</f>
        <v>88.11909272241536</v>
      </c>
      <c r="K48" s="134">
        <f>K47</f>
        <v>55.195438534183033</v>
      </c>
      <c r="L48" s="139"/>
      <c r="M48" s="134">
        <f t="shared" si="23"/>
        <v>3.8618333387527599</v>
      </c>
      <c r="N48" s="134">
        <f t="shared" si="23"/>
        <v>92.502641436735871</v>
      </c>
      <c r="O48" s="140">
        <f t="shared" si="23"/>
        <v>945.11431462236544</v>
      </c>
      <c r="P48" s="129">
        <f t="shared" si="16"/>
        <v>472.55715731118272</v>
      </c>
      <c r="Q48" s="129">
        <f t="shared" si="17"/>
        <v>-472.55715731118272</v>
      </c>
      <c r="R48" s="45">
        <f t="shared" si="18"/>
        <v>113.46077601571335</v>
      </c>
      <c r="S48" s="129">
        <f>((Panels!$T$94-Panels!$T$93)*N48/Panels!$U$94+Panels!$T$93)/2</f>
        <v>415.82676930332605</v>
      </c>
      <c r="T48" s="129">
        <f t="shared" si="19"/>
        <v>-415.82676930332605</v>
      </c>
      <c r="U48" s="45">
        <f>IF(B48&gt;0,K48,"")</f>
        <v>55.195438534183033</v>
      </c>
    </row>
    <row r="49" spans="2:23" s="12" customFormat="1" ht="11.25" x14ac:dyDescent="0.2">
      <c r="B49" s="9"/>
      <c r="C49" s="143"/>
      <c r="D49" s="144"/>
      <c r="E49" s="144"/>
      <c r="F49" s="145"/>
      <c r="G49" s="145"/>
      <c r="H49" s="144"/>
      <c r="I49" s="145"/>
      <c r="J49" s="146">
        <f>J48</f>
        <v>88.11909272241536</v>
      </c>
      <c r="K49" s="146">
        <f>K48</f>
        <v>55.195438534183033</v>
      </c>
      <c r="L49" s="147"/>
      <c r="M49" s="134">
        <f>((H47-H44)^2+(I47-I44)^2)^0.5</f>
        <v>5.4839908972921645</v>
      </c>
      <c r="N49" s="134">
        <f>N46+M49</f>
        <v>97.98663233402803</v>
      </c>
      <c r="O49" s="140">
        <f>((C47-C48)^2+(D47-D48)^2)^0.5*Panels!$T$91</f>
        <v>953.3415806920691</v>
      </c>
      <c r="P49" s="129">
        <f t="shared" si="16"/>
        <v>476.67079034603455</v>
      </c>
      <c r="Q49" s="129">
        <f t="shared" si="17"/>
        <v>-476.67079034603455</v>
      </c>
      <c r="R49" s="45">
        <f t="shared" si="18"/>
        <v>101.58875252651819</v>
      </c>
      <c r="S49" s="129">
        <f>((Panels!$T$94-Panels!$T$93)*N49/Panels!$U$94+Panels!$T$93)/2</f>
        <v>425.87641408277545</v>
      </c>
      <c r="T49" s="129">
        <f t="shared" si="19"/>
        <v>-425.87641408277545</v>
      </c>
      <c r="U49" s="45">
        <f>IF(B48&gt;0,K49,"")</f>
        <v>55.195438534183033</v>
      </c>
      <c r="W49" s="45">
        <f>W46+M49</f>
        <v>46.502664266385104</v>
      </c>
    </row>
    <row r="50" spans="2:23" s="12" customFormat="1" ht="11.25" x14ac:dyDescent="0.2">
      <c r="B50" s="9"/>
      <c r="C50" s="130">
        <f>C47</f>
        <v>84.225456963220481</v>
      </c>
      <c r="D50" s="131">
        <f>D47</f>
        <v>63.190877068366071</v>
      </c>
      <c r="E50" s="137"/>
      <c r="F50" s="131">
        <f>IF(Design!$H$19="x",C50,0)</f>
        <v>0</v>
      </c>
      <c r="G50" s="131">
        <f>IF(Design!$H$19="x",D50,0)</f>
        <v>0</v>
      </c>
      <c r="H50" s="131">
        <f>SUM(C50:C51)/2</f>
        <v>83.946420182461708</v>
      </c>
      <c r="I50" s="131">
        <f>SUM(D50:D51)/2</f>
        <v>55.195438534183033</v>
      </c>
      <c r="J50" s="131">
        <f>IF(Design!$H$18="x",H50,0)</f>
        <v>83.946420182461708</v>
      </c>
      <c r="K50" s="131">
        <f>IF(Design!$H$18="x",I50,0)</f>
        <v>55.195438534183033</v>
      </c>
      <c r="L50" s="141"/>
      <c r="M50" s="131">
        <f t="shared" ref="M50:O51" si="24">M49</f>
        <v>5.4839908972921645</v>
      </c>
      <c r="N50" s="131">
        <f t="shared" si="24"/>
        <v>97.98663233402803</v>
      </c>
      <c r="O50" s="142">
        <f t="shared" si="24"/>
        <v>953.3415806920691</v>
      </c>
      <c r="P50" s="129">
        <f t="shared" si="16"/>
        <v>476.67079034603455</v>
      </c>
      <c r="Q50" s="129">
        <f t="shared" si="17"/>
        <v>-476.67079034603455</v>
      </c>
      <c r="R50" s="45">
        <f t="shared" si="18"/>
        <v>101.58875252651819</v>
      </c>
      <c r="S50" s="129">
        <f>((Panels!$T$94-Panels!$T$93)*N50/Panels!$U$94+Panels!$T$93)/2</f>
        <v>425.87641408277545</v>
      </c>
      <c r="T50" s="129">
        <f t="shared" si="19"/>
        <v>-425.87641408277545</v>
      </c>
      <c r="U50" s="45">
        <f>IF(B51&gt;0,K50,"")</f>
        <v>55.195438534183033</v>
      </c>
    </row>
    <row r="51" spans="2:23" s="12" customFormat="1" ht="11.25" x14ac:dyDescent="0.2">
      <c r="B51" s="39">
        <f>B48+1</f>
        <v>17</v>
      </c>
      <c r="C51" s="133">
        <f>C50-(D50-D51)*Panels!S11</f>
        <v>83.667383401702935</v>
      </c>
      <c r="D51" s="134">
        <f>D48</f>
        <v>47.199999999999996</v>
      </c>
      <c r="E51" s="137"/>
      <c r="F51" s="134">
        <f>IF(Design!$H$19="x",C51,0)</f>
        <v>0</v>
      </c>
      <c r="G51" s="134">
        <f>IF(Design!$H$19="x",D51,0)</f>
        <v>0</v>
      </c>
      <c r="H51" s="135"/>
      <c r="I51" s="135"/>
      <c r="J51" s="134">
        <f>J50</f>
        <v>83.946420182461708</v>
      </c>
      <c r="K51" s="134">
        <f>K50</f>
        <v>55.195438534183033</v>
      </c>
      <c r="L51" s="139"/>
      <c r="M51" s="134">
        <f t="shared" si="24"/>
        <v>5.4839908972921645</v>
      </c>
      <c r="N51" s="134">
        <f t="shared" si="24"/>
        <v>97.98663233402803</v>
      </c>
      <c r="O51" s="140">
        <f t="shared" si="24"/>
        <v>953.3415806920691</v>
      </c>
      <c r="P51" s="129">
        <f t="shared" si="16"/>
        <v>476.67079034603455</v>
      </c>
      <c r="Q51" s="129">
        <f t="shared" si="17"/>
        <v>-476.67079034603455</v>
      </c>
      <c r="R51" s="45">
        <f t="shared" si="18"/>
        <v>101.58875252651819</v>
      </c>
      <c r="S51" s="129">
        <f>((Panels!$T$94-Panels!$T$93)*N51/Panels!$U$94+Panels!$T$93)/2</f>
        <v>425.87641408277545</v>
      </c>
      <c r="T51" s="129">
        <f t="shared" si="19"/>
        <v>-425.87641408277545</v>
      </c>
      <c r="U51" s="45">
        <f>IF(B51&gt;0,K51,"")</f>
        <v>55.195438534183033</v>
      </c>
    </row>
    <row r="52" spans="2:23" s="12" customFormat="1" ht="11.25" x14ac:dyDescent="0.2">
      <c r="B52" s="9"/>
      <c r="C52" s="136"/>
      <c r="D52" s="137"/>
      <c r="E52" s="137"/>
      <c r="F52" s="138"/>
      <c r="G52" s="138"/>
      <c r="H52" s="135"/>
      <c r="I52" s="135"/>
      <c r="J52" s="146">
        <f>J51</f>
        <v>83.946420182461708</v>
      </c>
      <c r="K52" s="146">
        <f>K51</f>
        <v>55.195438534183033</v>
      </c>
      <c r="L52" s="147"/>
      <c r="M52" s="134">
        <f>((H50-H47)^2+(I50-I47)^2)^0.5</f>
        <v>4.1726725399536519</v>
      </c>
      <c r="N52" s="134">
        <f>N49+M52</f>
        <v>102.15930487398168</v>
      </c>
      <c r="O52" s="140">
        <f>((C50-C51)^2+(D50-D51)^2)^0.5*Panels!$T$91</f>
        <v>857.6328218606568</v>
      </c>
      <c r="P52" s="129">
        <f t="shared" si="16"/>
        <v>428.8164109303284</v>
      </c>
      <c r="Q52" s="129">
        <f t="shared" si="17"/>
        <v>-428.8164109303284</v>
      </c>
      <c r="R52" s="45">
        <f t="shared" si="18"/>
        <v>-9.4132033917832132</v>
      </c>
      <c r="S52" s="129">
        <f>((Panels!$T$94-Panels!$T$93)*N52/Panels!$U$94+Panels!$T$93)/2</f>
        <v>433.52301262622001</v>
      </c>
      <c r="T52" s="129">
        <f t="shared" si="19"/>
        <v>-433.52301262622001</v>
      </c>
      <c r="U52" s="45">
        <f>IF(B51&gt;0,K52,"")</f>
        <v>55.195438534183033</v>
      </c>
      <c r="W52" s="45">
        <f>W49+M52</f>
        <v>50.675336806338755</v>
      </c>
    </row>
    <row r="53" spans="2:23" s="12" customFormat="1" ht="11.25" x14ac:dyDescent="0.2">
      <c r="B53" s="9"/>
      <c r="C53" s="130">
        <f>Panels!Q89</f>
        <v>70.708163301965783</v>
      </c>
      <c r="D53" s="131">
        <f>Panels!Q90</f>
        <v>64.127318194123433</v>
      </c>
      <c r="E53" s="132"/>
      <c r="F53" s="131">
        <f>IF(Design!$H$19="x",C53,0)</f>
        <v>0</v>
      </c>
      <c r="G53" s="131">
        <f>IF(Design!$H$19="x",D53,0)</f>
        <v>0</v>
      </c>
      <c r="H53" s="131">
        <f>SUM(C53:C54)/2</f>
        <v>71.004081650982897</v>
      </c>
      <c r="I53" s="131">
        <f>SUM(D53:D54)/2</f>
        <v>55.663659097061711</v>
      </c>
      <c r="J53" s="131">
        <f>IF(Design!$H$18="x",H53,0)</f>
        <v>71.004081650982897</v>
      </c>
      <c r="K53" s="131">
        <f>IF(Design!$H$18="x",I53,0)</f>
        <v>55.663659097061711</v>
      </c>
      <c r="L53" s="141"/>
      <c r="M53" s="131">
        <f t="shared" ref="M53:O54" si="25">M52</f>
        <v>4.1726725399536519</v>
      </c>
      <c r="N53" s="131">
        <f t="shared" si="25"/>
        <v>102.15930487398168</v>
      </c>
      <c r="O53" s="142">
        <f t="shared" si="25"/>
        <v>857.6328218606568</v>
      </c>
      <c r="P53" s="129">
        <f t="shared" si="16"/>
        <v>428.8164109303284</v>
      </c>
      <c r="Q53" s="129">
        <f t="shared" si="17"/>
        <v>-428.8164109303284</v>
      </c>
      <c r="R53" s="45">
        <f t="shared" si="18"/>
        <v>-9.4132033917832132</v>
      </c>
      <c r="S53" s="129">
        <f>((Panels!$T$94-Panels!$T$93)*N53/Panels!$U$94+Panels!$T$93)/2</f>
        <v>433.52301262622001</v>
      </c>
      <c r="T53" s="129">
        <f t="shared" si="19"/>
        <v>-433.52301262622001</v>
      </c>
      <c r="U53" s="45">
        <f>IF(B54&gt;0,K53,"")</f>
        <v>55.663659097061711</v>
      </c>
    </row>
    <row r="54" spans="2:23" s="12" customFormat="1" ht="11.25" x14ac:dyDescent="0.2">
      <c r="B54" s="39">
        <f>B51+1</f>
        <v>18</v>
      </c>
      <c r="C54" s="133">
        <f>Panels!C86</f>
        <v>71.3</v>
      </c>
      <c r="D54" s="134">
        <f>D51</f>
        <v>47.199999999999996</v>
      </c>
      <c r="E54" s="135"/>
      <c r="F54" s="134">
        <f>IF(Design!$H$19="x",C54,0)</f>
        <v>0</v>
      </c>
      <c r="G54" s="134">
        <f>IF(Design!$H$19="x",D54,0)</f>
        <v>0</v>
      </c>
      <c r="H54" s="135"/>
      <c r="I54" s="135"/>
      <c r="J54" s="134">
        <f>J53</f>
        <v>71.004081650982897</v>
      </c>
      <c r="K54" s="134">
        <f>K53</f>
        <v>55.663659097061711</v>
      </c>
      <c r="L54" s="139"/>
      <c r="M54" s="134">
        <f t="shared" si="25"/>
        <v>4.1726725399536519</v>
      </c>
      <c r="N54" s="134">
        <f t="shared" si="25"/>
        <v>102.15930487398168</v>
      </c>
      <c r="O54" s="140">
        <f t="shared" si="25"/>
        <v>857.6328218606568</v>
      </c>
      <c r="P54" s="129">
        <f t="shared" si="16"/>
        <v>428.8164109303284</v>
      </c>
      <c r="Q54" s="129">
        <f t="shared" si="17"/>
        <v>-428.8164109303284</v>
      </c>
      <c r="R54" s="45">
        <f t="shared" si="18"/>
        <v>-9.4132033917832132</v>
      </c>
      <c r="S54" s="129">
        <f>((Panels!$T$94-Panels!$T$93)*N54/Panels!$U$94+Panels!$T$93)/2</f>
        <v>433.52301262622001</v>
      </c>
      <c r="T54" s="129">
        <f t="shared" si="19"/>
        <v>-433.52301262622001</v>
      </c>
      <c r="U54" s="45">
        <f>IF(B54&gt;0,K54,"")</f>
        <v>55.663659097061711</v>
      </c>
    </row>
    <row r="55" spans="2:23" s="12" customFormat="1" ht="11.25" x14ac:dyDescent="0.2">
      <c r="B55" s="9"/>
      <c r="C55" s="149"/>
      <c r="D55" s="150"/>
      <c r="E55" s="150"/>
      <c r="F55" s="150"/>
      <c r="G55" s="150"/>
      <c r="H55" s="150"/>
      <c r="I55" s="150"/>
      <c r="J55" s="146">
        <f>J54</f>
        <v>71.004081650982897</v>
      </c>
      <c r="K55" s="146">
        <f>K54</f>
        <v>55.663659097061711</v>
      </c>
      <c r="L55" s="147"/>
      <c r="M55" s="134">
        <f>((H53-H50)^2+(I53-I50)^2)^0.5</f>
        <v>12.950805270673461</v>
      </c>
      <c r="N55" s="134">
        <f>N52+M55</f>
        <v>115.11011014465514</v>
      </c>
      <c r="O55" s="140">
        <f>((C53-C54)^2+(D53-D54)^2)^0.5*Panels!$T$91</f>
        <v>907.85864822544136</v>
      </c>
      <c r="P55" s="129">
        <f t="shared" si="16"/>
        <v>453.92932411272068</v>
      </c>
      <c r="Q55" s="129">
        <f t="shared" si="17"/>
        <v>-453.92932411272068</v>
      </c>
      <c r="R55" s="45">
        <f t="shared" si="18"/>
        <v>-6.6531715608133482</v>
      </c>
      <c r="S55" s="129">
        <f>((Panels!$T$94-Panels!$T$93)*N55/Panels!$U$94+Panels!$T$93)/2</f>
        <v>457.25590989312735</v>
      </c>
      <c r="T55" s="129">
        <f t="shared" si="19"/>
        <v>-457.25590989312735</v>
      </c>
      <c r="U55" s="45">
        <f>IF(B54&gt;0,K55,"")</f>
        <v>55.663659097061711</v>
      </c>
      <c r="W55" s="45">
        <f>W52+M55</f>
        <v>63.626142077012219</v>
      </c>
    </row>
    <row r="56" spans="2:23" s="12" customFormat="1" ht="11.25" x14ac:dyDescent="0.2">
      <c r="B56" s="9"/>
      <c r="C56" s="133">
        <f>(C53+Panels!C75)/2</f>
        <v>66.92960677849527</v>
      </c>
      <c r="D56" s="133">
        <f>(D53+Panels!D75)/2</f>
        <v>64.391540605558077</v>
      </c>
      <c r="E56" s="135"/>
      <c r="F56" s="131">
        <f>IF(Design!$H$19="x",C56,0)</f>
        <v>0</v>
      </c>
      <c r="G56" s="131">
        <f>IF(Design!$H$19="x",D56,0)</f>
        <v>0</v>
      </c>
      <c r="H56" s="134">
        <f>SUM(C56:C57)/2</f>
        <v>69.114803389247641</v>
      </c>
      <c r="I56" s="134">
        <f>SUM(D56:D57)/2</f>
        <v>55.795770302779033</v>
      </c>
      <c r="J56" s="131">
        <f>IF(Design!$H$18="x",H56,0)</f>
        <v>69.114803389247641</v>
      </c>
      <c r="K56" s="131">
        <f>IF(Design!$H$18="x",I56,0)</f>
        <v>55.795770302779033</v>
      </c>
      <c r="L56" s="141"/>
      <c r="M56" s="131">
        <f t="shared" ref="M56:O57" si="26">M55</f>
        <v>12.950805270673461</v>
      </c>
      <c r="N56" s="131">
        <f t="shared" si="26"/>
        <v>115.11011014465514</v>
      </c>
      <c r="O56" s="142">
        <f t="shared" si="26"/>
        <v>907.85864822544136</v>
      </c>
      <c r="P56" s="129">
        <f t="shared" si="16"/>
        <v>453.92932411272068</v>
      </c>
      <c r="Q56" s="129">
        <f t="shared" si="17"/>
        <v>-453.92932411272068</v>
      </c>
      <c r="R56" s="45">
        <f t="shared" si="18"/>
        <v>-6.6531715608133482</v>
      </c>
      <c r="S56" s="129">
        <f>((Panels!$T$94-Panels!$T$93)*N56/Panels!$U$94+Panels!$T$93)/2</f>
        <v>457.25590989312735</v>
      </c>
      <c r="T56" s="129">
        <f t="shared" si="19"/>
        <v>-457.25590989312735</v>
      </c>
      <c r="U56" s="45">
        <f>IF(B57&gt;0,K56,"")</f>
        <v>55.795770302779033</v>
      </c>
    </row>
    <row r="57" spans="2:23" s="12" customFormat="1" ht="11.25" x14ac:dyDescent="0.2">
      <c r="B57" s="39">
        <f>B54+1</f>
        <v>19</v>
      </c>
      <c r="C57" s="133">
        <f>Panels!C86</f>
        <v>71.3</v>
      </c>
      <c r="D57" s="134">
        <f>D54</f>
        <v>47.199999999999996</v>
      </c>
      <c r="E57" s="135"/>
      <c r="F57" s="134">
        <f>IF(Design!$H$19="x",C57,0)</f>
        <v>0</v>
      </c>
      <c r="G57" s="134">
        <f>IF(Design!$H$19="x",D57,0)</f>
        <v>0</v>
      </c>
      <c r="H57" s="137"/>
      <c r="I57" s="138"/>
      <c r="J57" s="134">
        <f>J56</f>
        <v>69.114803389247641</v>
      </c>
      <c r="K57" s="134">
        <f>K56</f>
        <v>55.795770302779033</v>
      </c>
      <c r="L57" s="139"/>
      <c r="M57" s="134">
        <f t="shared" si="26"/>
        <v>12.950805270673461</v>
      </c>
      <c r="N57" s="134">
        <f t="shared" si="26"/>
        <v>115.11011014465514</v>
      </c>
      <c r="O57" s="140">
        <f t="shared" si="26"/>
        <v>907.85864822544136</v>
      </c>
      <c r="P57" s="129">
        <f t="shared" si="16"/>
        <v>453.92932411272068</v>
      </c>
      <c r="Q57" s="129">
        <f t="shared" si="17"/>
        <v>-453.92932411272068</v>
      </c>
      <c r="R57" s="45">
        <f t="shared" si="18"/>
        <v>-6.6531715608133482</v>
      </c>
      <c r="S57" s="129">
        <f>((Panels!$T$94-Panels!$T$93)*N57/Panels!$U$94+Panels!$T$93)/2</f>
        <v>457.25590989312735</v>
      </c>
      <c r="T57" s="129">
        <f t="shared" si="19"/>
        <v>-457.25590989312735</v>
      </c>
      <c r="U57" s="45">
        <f>IF(B57&gt;0,K57,"")</f>
        <v>55.795770302779033</v>
      </c>
    </row>
    <row r="58" spans="2:23" s="12" customFormat="1" ht="11.25" x14ac:dyDescent="0.2">
      <c r="B58" s="9"/>
      <c r="C58" s="143"/>
      <c r="D58" s="144"/>
      <c r="E58" s="144"/>
      <c r="F58" s="145"/>
      <c r="G58" s="145"/>
      <c r="H58" s="144"/>
      <c r="I58" s="145"/>
      <c r="J58" s="146">
        <f>J57</f>
        <v>69.114803389247641</v>
      </c>
      <c r="K58" s="146">
        <f>K57</f>
        <v>55.795770302779033</v>
      </c>
      <c r="L58" s="147"/>
      <c r="M58" s="134">
        <f>((H56-H53)^2+(I56-I53)^2)^0.5</f>
        <v>1.8938916866973881</v>
      </c>
      <c r="N58" s="134">
        <f>N55+M58</f>
        <v>117.00400183135253</v>
      </c>
      <c r="O58" s="140">
        <f>((C56-C57)^2+(D56-D57)^2)^0.5*Panels!$T$91</f>
        <v>950.77608060976752</v>
      </c>
      <c r="P58" s="129">
        <f t="shared" si="16"/>
        <v>475.38804030488376</v>
      </c>
      <c r="Q58" s="129">
        <f t="shared" si="17"/>
        <v>-475.38804030488376</v>
      </c>
      <c r="R58" s="45">
        <f t="shared" si="18"/>
        <v>29.322987922619063</v>
      </c>
      <c r="S58" s="129">
        <f>((Panels!$T$94-Panels!$T$93)*N58/Panels!$U$94+Panels!$T$93)/2</f>
        <v>460.72654634357423</v>
      </c>
      <c r="T58" s="129">
        <f t="shared" si="19"/>
        <v>-460.72654634357423</v>
      </c>
      <c r="U58" s="45">
        <f>IF(B57&gt;0,K58,"")</f>
        <v>55.795770302779033</v>
      </c>
      <c r="W58" s="45">
        <f>W55+M58</f>
        <v>65.520033763709606</v>
      </c>
    </row>
    <row r="59" spans="2:23" s="12" customFormat="1" ht="11.25" x14ac:dyDescent="0.2">
      <c r="B59" s="9"/>
      <c r="C59" s="130">
        <f>((Panels!C66+Panels!C67)/2+Panels!C67)/2</f>
        <v>60.992480900976005</v>
      </c>
      <c r="D59" s="130">
        <f>((Panels!D66+Panels!D67)/2+Panels!D67)/2</f>
        <v>63.118337799963243</v>
      </c>
      <c r="E59" s="132"/>
      <c r="F59" s="131">
        <f>IF(Design!$H$19="x",C59,0)</f>
        <v>0</v>
      </c>
      <c r="G59" s="131">
        <f>IF(Design!$H$19="x",D59,0)</f>
        <v>0</v>
      </c>
      <c r="H59" s="131">
        <f>SUM(C59:C60)/2</f>
        <v>66.146240450487994</v>
      </c>
      <c r="I59" s="131">
        <f>SUM(D59:D60)/2</f>
        <v>55.159168899981623</v>
      </c>
      <c r="J59" s="131">
        <f>IF(Design!$H$18="x",H59,0)</f>
        <v>66.146240450487994</v>
      </c>
      <c r="K59" s="131">
        <f>IF(Design!$H$18="x",I59,0)</f>
        <v>55.159168899981623</v>
      </c>
      <c r="L59" s="141"/>
      <c r="M59" s="131">
        <f t="shared" ref="M59:O60" si="27">M58</f>
        <v>1.8938916866973881</v>
      </c>
      <c r="N59" s="131">
        <f t="shared" si="27"/>
        <v>117.00400183135253</v>
      </c>
      <c r="O59" s="142">
        <f t="shared" si="27"/>
        <v>950.77608060976752</v>
      </c>
      <c r="P59" s="129">
        <f t="shared" si="16"/>
        <v>475.38804030488376</v>
      </c>
      <c r="Q59" s="129">
        <f t="shared" si="17"/>
        <v>-475.38804030488376</v>
      </c>
      <c r="R59" s="45">
        <f t="shared" si="18"/>
        <v>29.322987922619063</v>
      </c>
      <c r="S59" s="129">
        <f>((Panels!$T$94-Panels!$T$93)*N59/Panels!$U$94+Panels!$T$93)/2</f>
        <v>460.72654634357423</v>
      </c>
      <c r="T59" s="129">
        <f t="shared" si="19"/>
        <v>-460.72654634357423</v>
      </c>
      <c r="U59" s="45">
        <f>IF(B60&gt;0,K59,"")</f>
        <v>55.159168899981623</v>
      </c>
    </row>
    <row r="60" spans="2:23" s="12" customFormat="1" ht="11.25" x14ac:dyDescent="0.2">
      <c r="B60" s="39">
        <f>B57+1</f>
        <v>20</v>
      </c>
      <c r="C60" s="133">
        <f>C57</f>
        <v>71.3</v>
      </c>
      <c r="D60" s="134">
        <f>D54</f>
        <v>47.199999999999996</v>
      </c>
      <c r="E60" s="135"/>
      <c r="F60" s="134">
        <f>IF(Design!$H$19="x",C60,0)</f>
        <v>0</v>
      </c>
      <c r="G60" s="134">
        <f>IF(Design!$H$19="x",D60,0)</f>
        <v>0</v>
      </c>
      <c r="H60" s="137"/>
      <c r="I60" s="138"/>
      <c r="J60" s="134">
        <f>J59</f>
        <v>66.146240450487994</v>
      </c>
      <c r="K60" s="134">
        <f>K59</f>
        <v>55.159168899981623</v>
      </c>
      <c r="L60" s="139"/>
      <c r="M60" s="134">
        <f t="shared" si="27"/>
        <v>1.8938916866973881</v>
      </c>
      <c r="N60" s="134">
        <f t="shared" si="27"/>
        <v>117.00400183135253</v>
      </c>
      <c r="O60" s="140">
        <f t="shared" si="27"/>
        <v>950.77608060976752</v>
      </c>
      <c r="P60" s="129">
        <f t="shared" si="16"/>
        <v>475.38804030488376</v>
      </c>
      <c r="Q60" s="129">
        <f t="shared" si="17"/>
        <v>-475.38804030488376</v>
      </c>
      <c r="R60" s="45">
        <f t="shared" si="18"/>
        <v>29.322987922619063</v>
      </c>
      <c r="S60" s="129">
        <f>((Panels!$T$94-Panels!$T$93)*N60/Panels!$U$94+Panels!$T$93)/2</f>
        <v>460.72654634357423</v>
      </c>
      <c r="T60" s="129">
        <f t="shared" si="19"/>
        <v>-460.72654634357423</v>
      </c>
      <c r="U60" s="45">
        <f>IF(B60&gt;0,K60,"")</f>
        <v>55.159168899981623</v>
      </c>
    </row>
    <row r="61" spans="2:23" s="12" customFormat="1" ht="11.25" x14ac:dyDescent="0.2">
      <c r="B61" s="9"/>
      <c r="C61" s="149"/>
      <c r="D61" s="150"/>
      <c r="E61" s="150"/>
      <c r="F61" s="150"/>
      <c r="G61" s="150"/>
      <c r="H61" s="150"/>
      <c r="I61" s="150"/>
      <c r="J61" s="146">
        <f>J60</f>
        <v>66.146240450487994</v>
      </c>
      <c r="K61" s="146">
        <f>K60</f>
        <v>55.159168899981623</v>
      </c>
      <c r="L61" s="147"/>
      <c r="M61" s="134">
        <f>((H59-H56)^2+(I59-I56)^2)^0.5</f>
        <v>3.0360545560679468</v>
      </c>
      <c r="N61" s="134">
        <f>N58+M61</f>
        <v>120.04005638742048</v>
      </c>
      <c r="O61" s="140">
        <f>((C59-C60)^2+(D59-D60)^2)^0.5*Panels!$T$91</f>
        <v>1016.477652947386</v>
      </c>
      <c r="P61" s="129">
        <f t="shared" si="16"/>
        <v>508.238826473693</v>
      </c>
      <c r="Q61" s="129">
        <f t="shared" si="17"/>
        <v>-508.238826473693</v>
      </c>
      <c r="R61" s="45">
        <f t="shared" si="18"/>
        <v>83.89716402966485</v>
      </c>
      <c r="S61" s="129">
        <f>((Panels!$T$94-Panels!$T$93)*N61/Panels!$U$94+Panels!$T$93)/2</f>
        <v>466.29024445886057</v>
      </c>
      <c r="T61" s="129">
        <f t="shared" si="19"/>
        <v>-466.29024445886057</v>
      </c>
      <c r="U61" s="45">
        <f>IF(B60&gt;0,K61,"")</f>
        <v>55.159168899981623</v>
      </c>
      <c r="W61" s="45">
        <f>W58+M61</f>
        <v>68.556088319777558</v>
      </c>
    </row>
    <row r="62" spans="2:23" s="12" customFormat="1" ht="11.25" x14ac:dyDescent="0.2">
      <c r="B62" s="9"/>
      <c r="C62" s="130">
        <f>((Panels!C66+Panels!C67)/2+Panels!C66)/2</f>
        <v>56.424218887399689</v>
      </c>
      <c r="D62" s="130">
        <f>((Panels!D66+Panels!D67)/2+Panels!D66)/2</f>
        <v>56.452256784968966</v>
      </c>
      <c r="E62" s="132"/>
      <c r="F62" s="131">
        <f>IF(Design!$H$19="x",C62,0)</f>
        <v>0</v>
      </c>
      <c r="G62" s="131">
        <f>IF(Design!$H$19="x",D62,0)</f>
        <v>0</v>
      </c>
      <c r="H62" s="131">
        <f>SUM(C62:C63)/2</f>
        <v>63.862109443699843</v>
      </c>
      <c r="I62" s="131">
        <f>SUM(D62:D63)/2</f>
        <v>51.376128392484482</v>
      </c>
      <c r="J62" s="131">
        <f>IF(Design!$H$18="x",H62,0)</f>
        <v>63.862109443699843</v>
      </c>
      <c r="K62" s="131">
        <f>IF(Design!$H$18="x",I62,0)</f>
        <v>51.376128392484482</v>
      </c>
      <c r="L62" s="141"/>
      <c r="M62" s="131">
        <f t="shared" ref="M62:O63" si="28">M61</f>
        <v>3.0360545560679468</v>
      </c>
      <c r="N62" s="131">
        <f t="shared" si="28"/>
        <v>120.04005638742048</v>
      </c>
      <c r="O62" s="142">
        <f t="shared" si="28"/>
        <v>1016.477652947386</v>
      </c>
      <c r="P62" s="129">
        <f t="shared" si="16"/>
        <v>508.238826473693</v>
      </c>
      <c r="Q62" s="129">
        <f t="shared" si="17"/>
        <v>-508.238826473693</v>
      </c>
      <c r="R62" s="45">
        <f t="shared" si="18"/>
        <v>83.89716402966485</v>
      </c>
      <c r="S62" s="129">
        <f>((Panels!$T$94-Panels!$T$93)*N62/Panels!$U$94+Panels!$T$93)/2</f>
        <v>466.29024445886057</v>
      </c>
      <c r="T62" s="129">
        <f t="shared" si="19"/>
        <v>-466.29024445886057</v>
      </c>
      <c r="U62" s="45">
        <f>IF(B63&gt;0,K62,"")</f>
        <v>51.376128392484482</v>
      </c>
    </row>
    <row r="63" spans="2:23" s="12" customFormat="1" ht="11.25" x14ac:dyDescent="0.2">
      <c r="B63" s="39">
        <f>B60+1</f>
        <v>21</v>
      </c>
      <c r="C63" s="133">
        <f>C60</f>
        <v>71.3</v>
      </c>
      <c r="D63" s="134">
        <f>(Panels!D85+Panels!D86)/2</f>
        <v>46.3</v>
      </c>
      <c r="E63" s="135"/>
      <c r="F63" s="134">
        <f>IF(Design!$H$19="x",C63,0)</f>
        <v>0</v>
      </c>
      <c r="G63" s="134">
        <f>IF(Design!$H$19="x",D63,0)</f>
        <v>0</v>
      </c>
      <c r="H63" s="137"/>
      <c r="I63" s="138"/>
      <c r="J63" s="134">
        <f>J62</f>
        <v>63.862109443699843</v>
      </c>
      <c r="K63" s="134">
        <f>K62</f>
        <v>51.376128392484482</v>
      </c>
      <c r="L63" s="139"/>
      <c r="M63" s="134">
        <f t="shared" si="28"/>
        <v>3.0360545560679468</v>
      </c>
      <c r="N63" s="134">
        <f t="shared" si="28"/>
        <v>120.04005638742048</v>
      </c>
      <c r="O63" s="140">
        <f t="shared" si="28"/>
        <v>1016.477652947386</v>
      </c>
      <c r="P63" s="129">
        <f t="shared" si="16"/>
        <v>508.238826473693</v>
      </c>
      <c r="Q63" s="129">
        <f t="shared" si="17"/>
        <v>-508.238826473693</v>
      </c>
      <c r="R63" s="45">
        <f t="shared" si="18"/>
        <v>83.89716402966485</v>
      </c>
      <c r="S63" s="129">
        <f>((Panels!$T$94-Panels!$T$93)*N63/Panels!$U$94+Panels!$T$93)/2</f>
        <v>466.29024445886057</v>
      </c>
      <c r="T63" s="129">
        <f t="shared" si="19"/>
        <v>-466.29024445886057</v>
      </c>
      <c r="U63" s="45">
        <f>IF(B63&gt;0,K63,"")</f>
        <v>51.376128392484482</v>
      </c>
    </row>
    <row r="64" spans="2:23" s="12" customFormat="1" ht="11.25" x14ac:dyDescent="0.2">
      <c r="B64" s="9"/>
      <c r="C64" s="149"/>
      <c r="D64" s="150"/>
      <c r="E64" s="150"/>
      <c r="F64" s="150"/>
      <c r="G64" s="150"/>
      <c r="H64" s="150"/>
      <c r="I64" s="150"/>
      <c r="J64" s="146">
        <f>J63</f>
        <v>63.862109443699843</v>
      </c>
      <c r="K64" s="146">
        <f>K63</f>
        <v>51.376128392484482</v>
      </c>
      <c r="L64" s="147"/>
      <c r="M64" s="134">
        <f>((H62-H59)^2+(I62-I59)^2)^0.5</f>
        <v>4.4191232091372239</v>
      </c>
      <c r="N64" s="134">
        <f>N61+M64</f>
        <v>124.4591795965577</v>
      </c>
      <c r="O64" s="140">
        <f>((C62-C63)^2+(D62-D63)^2)^0.5*Panels!$T$91</f>
        <v>965.33165713720007</v>
      </c>
      <c r="P64" s="129">
        <f t="shared" si="16"/>
        <v>482.66582856860003</v>
      </c>
      <c r="Q64" s="129">
        <f t="shared" si="17"/>
        <v>-482.66582856860003</v>
      </c>
      <c r="R64" s="45">
        <f t="shared" si="18"/>
        <v>16.554708626382762</v>
      </c>
      <c r="S64" s="129">
        <f>((Panels!$T$94-Panels!$T$93)*N64/Panels!$U$94+Panels!$T$93)/2</f>
        <v>474.38847425540865</v>
      </c>
      <c r="T64" s="129">
        <f t="shared" si="19"/>
        <v>-474.38847425540865</v>
      </c>
      <c r="U64" s="45">
        <f>IF(B63&gt;0,K64,"")</f>
        <v>51.376128392484482</v>
      </c>
      <c r="W64" s="45">
        <f>W61+M64</f>
        <v>72.975211528914784</v>
      </c>
    </row>
    <row r="65" spans="2:23" s="12" customFormat="1" ht="11.25" x14ac:dyDescent="0.2">
      <c r="B65" s="9"/>
      <c r="C65" s="130">
        <f>(C68+Panels!C62)/2</f>
        <v>53.05297208172481</v>
      </c>
      <c r="D65" s="130">
        <f>(D68+Panels!D62)/2</f>
        <v>46.825487078820025</v>
      </c>
      <c r="E65" s="132"/>
      <c r="F65" s="131">
        <f>IF(Design!$H$19="x",C65,0)</f>
        <v>0</v>
      </c>
      <c r="G65" s="131">
        <f>IF(Design!$H$19="x",D65,0)</f>
        <v>0</v>
      </c>
      <c r="H65" s="131">
        <f>SUM(C65:C66)/2</f>
        <v>62.1764860408624</v>
      </c>
      <c r="I65" s="131">
        <f>SUM(D65:D66)/2</f>
        <v>46.562743539410008</v>
      </c>
      <c r="J65" s="131">
        <f>IF(Design!$H$18="x",H65,0)</f>
        <v>62.1764860408624</v>
      </c>
      <c r="K65" s="131">
        <f>IF(Design!$H$18="x",I65,0)</f>
        <v>46.562743539410008</v>
      </c>
      <c r="L65" s="141"/>
      <c r="M65" s="131">
        <f t="shared" ref="M65:O66" si="29">M64</f>
        <v>4.4191232091372239</v>
      </c>
      <c r="N65" s="131">
        <f t="shared" si="29"/>
        <v>124.4591795965577</v>
      </c>
      <c r="O65" s="142">
        <f t="shared" si="29"/>
        <v>965.33165713720007</v>
      </c>
      <c r="P65" s="129">
        <f t="shared" si="16"/>
        <v>482.66582856860003</v>
      </c>
      <c r="Q65" s="129">
        <f t="shared" si="17"/>
        <v>-482.66582856860003</v>
      </c>
      <c r="R65" s="45">
        <f t="shared" si="18"/>
        <v>16.554708626382762</v>
      </c>
      <c r="S65" s="129">
        <f>((Panels!$T$94-Panels!$T$93)*N65/Panels!$U$94+Panels!$T$93)/2</f>
        <v>474.38847425540865</v>
      </c>
      <c r="T65" s="129">
        <f t="shared" si="19"/>
        <v>-474.38847425540865</v>
      </c>
      <c r="U65" s="45">
        <f>IF(B66&gt;0,K65,"")</f>
        <v>46.562743539410008</v>
      </c>
    </row>
    <row r="66" spans="2:23" s="12" customFormat="1" ht="11.25" x14ac:dyDescent="0.2">
      <c r="B66" s="39">
        <f>B63+1</f>
        <v>22</v>
      </c>
      <c r="C66" s="133">
        <f>C60</f>
        <v>71.3</v>
      </c>
      <c r="D66" s="134">
        <f>(Panels!D85+Panels!D86)/2</f>
        <v>46.3</v>
      </c>
      <c r="E66" s="135"/>
      <c r="F66" s="134">
        <f>IF(Design!$H$19="x",C66,0)</f>
        <v>0</v>
      </c>
      <c r="G66" s="134">
        <f>IF(Design!$H$19="x",D66,0)</f>
        <v>0</v>
      </c>
      <c r="H66" s="137"/>
      <c r="I66" s="138"/>
      <c r="J66" s="134">
        <f>J65</f>
        <v>62.1764860408624</v>
      </c>
      <c r="K66" s="134">
        <f>K65</f>
        <v>46.562743539410008</v>
      </c>
      <c r="L66" s="139"/>
      <c r="M66" s="134">
        <f t="shared" si="29"/>
        <v>4.4191232091372239</v>
      </c>
      <c r="N66" s="134">
        <f t="shared" si="29"/>
        <v>124.4591795965577</v>
      </c>
      <c r="O66" s="140">
        <f t="shared" si="29"/>
        <v>965.33165713720007</v>
      </c>
      <c r="P66" s="129">
        <f t="shared" si="16"/>
        <v>482.66582856860003</v>
      </c>
      <c r="Q66" s="129">
        <f t="shared" si="17"/>
        <v>-482.66582856860003</v>
      </c>
      <c r="R66" s="45">
        <f t="shared" si="18"/>
        <v>16.554708626382762</v>
      </c>
      <c r="S66" s="129">
        <f>((Panels!$T$94-Panels!$T$93)*N66/Panels!$U$94+Panels!$T$93)/2</f>
        <v>474.38847425540865</v>
      </c>
      <c r="T66" s="129">
        <f t="shared" si="19"/>
        <v>-474.38847425540865</v>
      </c>
      <c r="U66" s="45">
        <f>IF(B66&gt;0,K66,"")</f>
        <v>46.562743539410008</v>
      </c>
    </row>
    <row r="67" spans="2:23" s="12" customFormat="1" ht="11.25" x14ac:dyDescent="0.2">
      <c r="B67" s="9"/>
      <c r="C67" s="149"/>
      <c r="D67" s="150"/>
      <c r="E67" s="150"/>
      <c r="F67" s="150"/>
      <c r="G67" s="150"/>
      <c r="H67" s="150"/>
      <c r="I67" s="150"/>
      <c r="J67" s="146">
        <f>J66</f>
        <v>62.1764860408624</v>
      </c>
      <c r="K67" s="146">
        <f>K66</f>
        <v>46.562743539410008</v>
      </c>
      <c r="L67" s="147"/>
      <c r="M67" s="134">
        <f>((H65-H62)^2+(I65-I62)^2)^0.5</f>
        <v>5.1000000000000059</v>
      </c>
      <c r="N67" s="134">
        <f>N64+M67</f>
        <v>129.5591795965577</v>
      </c>
      <c r="O67" s="140">
        <f>((C65-C66)^2+(D65-D66)^2)^0.5*Panels!$T$91</f>
        <v>978.44618322128542</v>
      </c>
      <c r="P67" s="129">
        <f t="shared" si="16"/>
        <v>489.22309161064271</v>
      </c>
      <c r="Q67" s="129">
        <f t="shared" si="17"/>
        <v>-489.22309161064271</v>
      </c>
      <c r="R67" s="45">
        <f t="shared" si="18"/>
        <v>10.977304203982499</v>
      </c>
      <c r="S67" s="129">
        <f>((Panels!$T$94-Panels!$T$93)*N67/Panels!$U$94+Panels!$T$93)/2</f>
        <v>483.73443950865146</v>
      </c>
      <c r="T67" s="129">
        <f t="shared" si="19"/>
        <v>-483.73443950865146</v>
      </c>
      <c r="U67" s="45">
        <f>IF(B66&gt;0,K67,"")</f>
        <v>46.562743539410008</v>
      </c>
      <c r="W67" s="45">
        <f>W64+M67</f>
        <v>78.075211528914792</v>
      </c>
    </row>
    <row r="68" spans="2:23" s="12" customFormat="1" ht="11.25" x14ac:dyDescent="0.2">
      <c r="B68" s="9"/>
      <c r="C68" s="130">
        <f>(Panels!C62+Panels!C63)/2</f>
        <v>51.965856282838097</v>
      </c>
      <c r="D68" s="130">
        <f>(Panels!D62+Panels!D63)/2</f>
        <v>40.531757880168229</v>
      </c>
      <c r="E68" s="132"/>
      <c r="F68" s="131">
        <f>IF(Design!$H$19="x",C68,0)</f>
        <v>0</v>
      </c>
      <c r="G68" s="131">
        <f>IF(Design!$H$19="x",D68,0)</f>
        <v>0</v>
      </c>
      <c r="H68" s="131">
        <f>SUM(C68:C69)/2</f>
        <v>61.632928141419043</v>
      </c>
      <c r="I68" s="131">
        <f>SUM(D68:D69)/2</f>
        <v>43.415878940084113</v>
      </c>
      <c r="J68" s="131">
        <f>IF(Design!$H$18="x",H68,0)</f>
        <v>61.632928141419043</v>
      </c>
      <c r="K68" s="131">
        <f>IF(Design!$H$18="x",I68,0)</f>
        <v>43.415878940084113</v>
      </c>
      <c r="L68" s="141"/>
      <c r="M68" s="131">
        <f t="shared" ref="M68:O69" si="30">M67</f>
        <v>5.1000000000000059</v>
      </c>
      <c r="N68" s="131">
        <f t="shared" si="30"/>
        <v>129.5591795965577</v>
      </c>
      <c r="O68" s="142">
        <f t="shared" si="30"/>
        <v>978.44618322128542</v>
      </c>
      <c r="P68" s="129">
        <f t="shared" si="16"/>
        <v>489.22309161064271</v>
      </c>
      <c r="Q68" s="129">
        <f t="shared" si="17"/>
        <v>-489.22309161064271</v>
      </c>
      <c r="R68" s="45">
        <f t="shared" si="18"/>
        <v>10.977304203982499</v>
      </c>
      <c r="S68" s="129">
        <f>((Panels!$T$94-Panels!$T$93)*N68/Panels!$U$94+Panels!$T$93)/2</f>
        <v>483.73443950865146</v>
      </c>
      <c r="T68" s="129">
        <f t="shared" si="19"/>
        <v>-483.73443950865146</v>
      </c>
      <c r="U68" s="45">
        <f>IF(B69&gt;0,K68,"")</f>
        <v>43.415878940084113</v>
      </c>
    </row>
    <row r="69" spans="2:23" s="12" customFormat="1" ht="11.25" x14ac:dyDescent="0.2">
      <c r="B69" s="39">
        <f>B66+1</f>
        <v>23</v>
      </c>
      <c r="C69" s="133">
        <f>C60</f>
        <v>71.3</v>
      </c>
      <c r="D69" s="134">
        <f>(Panels!D85+Panels!D86)/2</f>
        <v>46.3</v>
      </c>
      <c r="E69" s="135"/>
      <c r="F69" s="134">
        <f>IF(Design!$H$19="x",C69,0)</f>
        <v>0</v>
      </c>
      <c r="G69" s="134">
        <f>IF(Design!$H$19="x",D69,0)</f>
        <v>0</v>
      </c>
      <c r="H69" s="137"/>
      <c r="I69" s="138"/>
      <c r="J69" s="134">
        <f>J68</f>
        <v>61.632928141419043</v>
      </c>
      <c r="K69" s="134">
        <f>K68</f>
        <v>43.415878940084113</v>
      </c>
      <c r="L69" s="139"/>
      <c r="M69" s="134">
        <f t="shared" si="30"/>
        <v>5.1000000000000059</v>
      </c>
      <c r="N69" s="134">
        <f t="shared" si="30"/>
        <v>129.5591795965577</v>
      </c>
      <c r="O69" s="140">
        <f t="shared" si="30"/>
        <v>978.44618322128542</v>
      </c>
      <c r="P69" s="129">
        <f t="shared" ref="P69:P100" si="31">O69/2</f>
        <v>489.22309161064271</v>
      </c>
      <c r="Q69" s="129">
        <f t="shared" ref="Q69:Q100" si="32">-P69</f>
        <v>-489.22309161064271</v>
      </c>
      <c r="R69" s="45">
        <f t="shared" ref="R69:R100" si="33">(P69-S69)*2</f>
        <v>10.977304203982499</v>
      </c>
      <c r="S69" s="129">
        <f>((Panels!$T$94-Panels!$T$93)*N69/Panels!$U$94+Panels!$T$93)/2</f>
        <v>483.73443950865146</v>
      </c>
      <c r="T69" s="129">
        <f t="shared" ref="T69:T100" si="34">-S69</f>
        <v>-483.73443950865146</v>
      </c>
      <c r="U69" s="45">
        <f>IF(B69&gt;0,K69,"")</f>
        <v>43.415878940084113</v>
      </c>
    </row>
    <row r="70" spans="2:23" s="12" customFormat="1" ht="11.25" x14ac:dyDescent="0.2">
      <c r="B70" s="9"/>
      <c r="C70" s="149"/>
      <c r="D70" s="150"/>
      <c r="E70" s="150"/>
      <c r="F70" s="150"/>
      <c r="G70" s="150"/>
      <c r="H70" s="150"/>
      <c r="I70" s="150"/>
      <c r="J70" s="146">
        <f>J69</f>
        <v>61.632928141419043</v>
      </c>
      <c r="K70" s="146">
        <f>K69</f>
        <v>43.415878940084113</v>
      </c>
      <c r="L70" s="147"/>
      <c r="M70" s="134">
        <f>((H68-H65)^2+(I68-I65)^2)^0.5</f>
        <v>3.1934639494658144</v>
      </c>
      <c r="N70" s="134">
        <f>N67+M70</f>
        <v>132.75264354602351</v>
      </c>
      <c r="O70" s="140">
        <f>((C68-C69)^2+(D68-D69)^2)^0.5*Panels!$T$91</f>
        <v>1081.4478851303622</v>
      </c>
      <c r="P70" s="129">
        <f t="shared" si="31"/>
        <v>540.72394256518112</v>
      </c>
      <c r="Q70" s="129">
        <f t="shared" si="32"/>
        <v>-540.72394256518112</v>
      </c>
      <c r="R70" s="45">
        <f t="shared" si="33"/>
        <v>102.27469116827865</v>
      </c>
      <c r="S70" s="129">
        <f>((Panels!$T$94-Panels!$T$93)*N70/Panels!$U$94+Panels!$T$93)/2</f>
        <v>489.58659698104179</v>
      </c>
      <c r="T70" s="129">
        <f t="shared" si="34"/>
        <v>-489.58659698104179</v>
      </c>
      <c r="U70" s="45">
        <f>IF(B69&gt;0,K70,"")</f>
        <v>43.415878940084113</v>
      </c>
      <c r="W70" s="45">
        <f>W67+M70</f>
        <v>81.268675478380601</v>
      </c>
    </row>
    <row r="71" spans="2:23" s="12" customFormat="1" ht="11.25" x14ac:dyDescent="0.2">
      <c r="B71" s="9"/>
      <c r="C71" s="130">
        <f>(C68+Panels!C63)/2</f>
        <v>50.878740483951383</v>
      </c>
      <c r="D71" s="131">
        <f>(D68+Panels!D63)/2</f>
        <v>34.238028681516425</v>
      </c>
      <c r="E71" s="132"/>
      <c r="F71" s="131">
        <f>IF(Design!$H$19="x",C71,0)</f>
        <v>0</v>
      </c>
      <c r="G71" s="131">
        <f>IF(Design!$H$19="x",D71,0)</f>
        <v>0</v>
      </c>
      <c r="H71" s="131">
        <f>SUM(C71:C72)/2</f>
        <v>61.089370241975686</v>
      </c>
      <c r="I71" s="131">
        <f>SUM(D71:D72)/2</f>
        <v>39.819014340758216</v>
      </c>
      <c r="J71" s="131">
        <f>IF(Design!$H$18="x",H71,0)</f>
        <v>61.089370241975686</v>
      </c>
      <c r="K71" s="131">
        <f>IF(Design!$H$18="x",I71,0)</f>
        <v>39.819014340758216</v>
      </c>
      <c r="L71" s="141"/>
      <c r="M71" s="131">
        <f t="shared" ref="M71:O72" si="35">M70</f>
        <v>3.1934639494658144</v>
      </c>
      <c r="N71" s="131">
        <f t="shared" si="35"/>
        <v>132.75264354602351</v>
      </c>
      <c r="O71" s="142">
        <f t="shared" si="35"/>
        <v>1081.4478851303622</v>
      </c>
      <c r="P71" s="129">
        <f t="shared" si="31"/>
        <v>540.72394256518112</v>
      </c>
      <c r="Q71" s="129">
        <f t="shared" si="32"/>
        <v>-540.72394256518112</v>
      </c>
      <c r="R71" s="45">
        <f t="shared" si="33"/>
        <v>102.27469116827865</v>
      </c>
      <c r="S71" s="129">
        <f>((Panels!$T$95-2*$S$70)*(N71-$N$70)/(Panels!$U$95-$N$70)+2*$S$70)/2</f>
        <v>489.58659698104179</v>
      </c>
      <c r="T71" s="129">
        <f t="shared" si="34"/>
        <v>-489.58659698104179</v>
      </c>
      <c r="U71" s="45">
        <f>IF(B72&gt;0,K71,"")</f>
        <v>39.819014340758216</v>
      </c>
    </row>
    <row r="72" spans="2:23" s="12" customFormat="1" ht="11.25" x14ac:dyDescent="0.2">
      <c r="B72" s="39">
        <f>B69+1</f>
        <v>24</v>
      </c>
      <c r="C72" s="133">
        <f>C69</f>
        <v>71.3</v>
      </c>
      <c r="D72" s="134">
        <f>Panels!D85</f>
        <v>45.4</v>
      </c>
      <c r="E72" s="135"/>
      <c r="F72" s="134">
        <f>IF(Design!$H$19="x",C72,0)</f>
        <v>0</v>
      </c>
      <c r="G72" s="134">
        <f>IF(Design!$H$19="x",D72,0)</f>
        <v>0</v>
      </c>
      <c r="H72" s="137"/>
      <c r="I72" s="138"/>
      <c r="J72" s="134">
        <f>J71</f>
        <v>61.089370241975686</v>
      </c>
      <c r="K72" s="134">
        <f>K71</f>
        <v>39.819014340758216</v>
      </c>
      <c r="L72" s="139"/>
      <c r="M72" s="134">
        <f t="shared" si="35"/>
        <v>3.1934639494658144</v>
      </c>
      <c r="N72" s="134">
        <f t="shared" si="35"/>
        <v>132.75264354602351</v>
      </c>
      <c r="O72" s="140">
        <f t="shared" si="35"/>
        <v>1081.4478851303622</v>
      </c>
      <c r="P72" s="129">
        <f t="shared" si="31"/>
        <v>540.72394256518112</v>
      </c>
      <c r="Q72" s="129">
        <f t="shared" si="32"/>
        <v>-540.72394256518112</v>
      </c>
      <c r="R72" s="45">
        <f t="shared" si="33"/>
        <v>102.27469116827865</v>
      </c>
      <c r="S72" s="129">
        <f>((Panels!$T$95-2*$S$70)*(N72-$N$70)/(Panels!$U$95-$N$70)+2*$S$70)/2</f>
        <v>489.58659698104179</v>
      </c>
      <c r="T72" s="129">
        <f t="shared" si="34"/>
        <v>-489.58659698104179</v>
      </c>
      <c r="U72" s="45">
        <f>IF(B72&gt;0,K72,"")</f>
        <v>39.819014340758216</v>
      </c>
    </row>
    <row r="73" spans="2:23" s="12" customFormat="1" ht="11.25" x14ac:dyDescent="0.2">
      <c r="B73" s="9"/>
      <c r="C73" s="149"/>
      <c r="D73" s="150"/>
      <c r="E73" s="150"/>
      <c r="F73" s="150"/>
      <c r="G73" s="150"/>
      <c r="H73" s="150"/>
      <c r="I73" s="150"/>
      <c r="J73" s="146">
        <f>J72</f>
        <v>61.089370241975686</v>
      </c>
      <c r="K73" s="146">
        <f>K72</f>
        <v>39.819014340758216</v>
      </c>
      <c r="L73" s="147"/>
      <c r="M73" s="134">
        <f>((H71-H68)^2+(I71-I68)^2)^0.5</f>
        <v>3.6377039648562834</v>
      </c>
      <c r="N73" s="134">
        <f>N70+M73</f>
        <v>136.39034751087979</v>
      </c>
      <c r="O73" s="140">
        <f>((C71-C72)^2+(D71-D72)^2)^0.5*Panels!$T$91</f>
        <v>1247.415428689128</v>
      </c>
      <c r="P73" s="129">
        <f t="shared" si="31"/>
        <v>623.70771434456401</v>
      </c>
      <c r="Q73" s="129">
        <f t="shared" si="32"/>
        <v>-623.70771434456401</v>
      </c>
      <c r="R73" s="45">
        <f t="shared" si="33"/>
        <v>254.90974262620898</v>
      </c>
      <c r="S73" s="129">
        <f>((Panels!$T$95-2*$S$70)*(N73-$N$70)/(Panels!$U$95-$N$70)+2*$S$70)/2</f>
        <v>496.25284303145952</v>
      </c>
      <c r="T73" s="129">
        <f t="shared" si="34"/>
        <v>-496.25284303145952</v>
      </c>
      <c r="U73" s="45">
        <f>IF(B72&gt;0,K73,"")</f>
        <v>39.819014340758216</v>
      </c>
      <c r="W73" s="45">
        <f>W70+M73</f>
        <v>84.906379443236887</v>
      </c>
    </row>
    <row r="74" spans="2:23" s="12" customFormat="1" ht="11.25" x14ac:dyDescent="0.2">
      <c r="B74" s="9"/>
      <c r="C74" s="130">
        <f>(Panels!C57+C77)/2</f>
        <v>60.18422273770868</v>
      </c>
      <c r="D74" s="131">
        <f>(Panels!D57+D77)/2</f>
        <v>27.217578233232899</v>
      </c>
      <c r="E74" s="132"/>
      <c r="F74" s="131">
        <f>IF(Design!$H$19="x",C74,0)</f>
        <v>0</v>
      </c>
      <c r="G74" s="131">
        <f>IF(Design!$H$19="x",D74,0)</f>
        <v>0</v>
      </c>
      <c r="H74" s="131">
        <f>SUM(C74:C75)/2</f>
        <v>65.742111368854339</v>
      </c>
      <c r="I74" s="131">
        <f>SUM(D74:D75)/2</f>
        <v>36.308789116616452</v>
      </c>
      <c r="J74" s="131">
        <f>IF(Design!$H$18="x",H74,0)</f>
        <v>65.742111368854339</v>
      </c>
      <c r="K74" s="131">
        <f>IF(Design!$H$18="x",I74,0)</f>
        <v>36.308789116616452</v>
      </c>
      <c r="L74" s="141"/>
      <c r="M74" s="131">
        <f t="shared" ref="M74:O75" si="36">M73</f>
        <v>3.6377039648562834</v>
      </c>
      <c r="N74" s="131">
        <f t="shared" si="36"/>
        <v>136.39034751087979</v>
      </c>
      <c r="O74" s="142">
        <f t="shared" si="36"/>
        <v>1247.415428689128</v>
      </c>
      <c r="P74" s="129">
        <f t="shared" si="31"/>
        <v>623.70771434456401</v>
      </c>
      <c r="Q74" s="129">
        <f t="shared" si="32"/>
        <v>-623.70771434456401</v>
      </c>
      <c r="R74" s="45">
        <f t="shared" si="33"/>
        <v>254.90974262620898</v>
      </c>
      <c r="S74" s="129">
        <f>((Panels!$T$95-2*$S$70)*(N74-$N$70)/(Panels!$U$95-$N$70)+2*$S$70)/2</f>
        <v>496.25284303145952</v>
      </c>
      <c r="T74" s="129">
        <f t="shared" si="34"/>
        <v>-496.25284303145952</v>
      </c>
      <c r="U74" s="45">
        <f>IF(B75&gt;0,K74,"")</f>
        <v>36.308789116616452</v>
      </c>
    </row>
    <row r="75" spans="2:23" s="12" customFormat="1" ht="11.25" x14ac:dyDescent="0.2">
      <c r="B75" s="39">
        <f>B72+1</f>
        <v>25</v>
      </c>
      <c r="C75" s="133">
        <f>C72</f>
        <v>71.3</v>
      </c>
      <c r="D75" s="134">
        <f>D72</f>
        <v>45.4</v>
      </c>
      <c r="E75" s="135"/>
      <c r="F75" s="134">
        <f>IF(Design!$H$19="x",C75,0)</f>
        <v>0</v>
      </c>
      <c r="G75" s="134">
        <f>IF(Design!$H$19="x",D75,0)</f>
        <v>0</v>
      </c>
      <c r="H75" s="137"/>
      <c r="I75" s="138"/>
      <c r="J75" s="134">
        <f>J74</f>
        <v>65.742111368854339</v>
      </c>
      <c r="K75" s="134">
        <f>K74</f>
        <v>36.308789116616452</v>
      </c>
      <c r="L75" s="139"/>
      <c r="M75" s="134">
        <f t="shared" si="36"/>
        <v>3.6377039648562834</v>
      </c>
      <c r="N75" s="134">
        <f t="shared" si="36"/>
        <v>136.39034751087979</v>
      </c>
      <c r="O75" s="140">
        <f t="shared" si="36"/>
        <v>1247.415428689128</v>
      </c>
      <c r="P75" s="129">
        <f t="shared" si="31"/>
        <v>623.70771434456401</v>
      </c>
      <c r="Q75" s="129">
        <f t="shared" si="32"/>
        <v>-623.70771434456401</v>
      </c>
      <c r="R75" s="45">
        <f t="shared" si="33"/>
        <v>254.90974262620898</v>
      </c>
      <c r="S75" s="129">
        <f>((Panels!$T$95-2*$S$70)*(N75-$N$70)/(Panels!$U$95-$N$70)+2*$S$70)/2</f>
        <v>496.25284303145952</v>
      </c>
      <c r="T75" s="129">
        <f t="shared" si="34"/>
        <v>-496.25284303145952</v>
      </c>
      <c r="U75" s="45">
        <f>IF(B75&gt;0,K75,"")</f>
        <v>36.308789116616452</v>
      </c>
    </row>
    <row r="76" spans="2:23" s="12" customFormat="1" ht="11.25" x14ac:dyDescent="0.2">
      <c r="B76" s="9"/>
      <c r="C76" s="148"/>
      <c r="D76" s="135"/>
      <c r="E76" s="135"/>
      <c r="F76" s="135"/>
      <c r="G76" s="135"/>
      <c r="H76" s="135"/>
      <c r="I76" s="135"/>
      <c r="J76" s="146">
        <f>J75</f>
        <v>65.742111368854339</v>
      </c>
      <c r="K76" s="146">
        <f>K75</f>
        <v>36.308789116616452</v>
      </c>
      <c r="L76" s="147"/>
      <c r="M76" s="134">
        <f>((H74-H71)^2+(I74-I71)^2)^0.5</f>
        <v>5.8283514923131667</v>
      </c>
      <c r="N76" s="134">
        <f>N73+M76</f>
        <v>142.21869900319297</v>
      </c>
      <c r="O76" s="140">
        <f>((C74-C75)^2+(D74-D75)^2)^0.5*Panels!$T$91</f>
        <v>1142.2724225410216</v>
      </c>
      <c r="P76" s="129">
        <f t="shared" si="31"/>
        <v>571.13621127051078</v>
      </c>
      <c r="Q76" s="129">
        <f t="shared" si="32"/>
        <v>-571.13621127051078</v>
      </c>
      <c r="R76" s="45">
        <f t="shared" si="33"/>
        <v>128.40533626992817</v>
      </c>
      <c r="S76" s="129">
        <f>((Panels!$T$95-2*$S$70)*(N76-$N$70)/(Panels!$U$95-$N$70)+2*$S$70)/2</f>
        <v>506.9335431355467</v>
      </c>
      <c r="T76" s="129">
        <f t="shared" si="34"/>
        <v>-506.9335431355467</v>
      </c>
      <c r="U76" s="45">
        <f>IF(B75&gt;0,K76,"")</f>
        <v>36.308789116616452</v>
      </c>
      <c r="W76" s="45">
        <f>W73+M76</f>
        <v>90.734730935550047</v>
      </c>
    </row>
    <row r="77" spans="2:23" s="12" customFormat="1" ht="11.25" x14ac:dyDescent="0.2">
      <c r="B77" s="9"/>
      <c r="C77" s="130">
        <f>(D3-D60+C60*(1/Panels!S21)-C3*(-Panels!S17))/(1/Panels!S21+Panels!S17)</f>
        <v>70.576820790352699</v>
      </c>
      <c r="D77" s="131">
        <f>(C77-Panels!C48)*(Panels!D51-Panels!D48)/(Panels!C51-Panels!C48)+Panels!D48</f>
        <v>26.490856983601169</v>
      </c>
      <c r="E77" s="132"/>
      <c r="F77" s="131">
        <f>IF(Design!$H$19="x",C77,0)</f>
        <v>0</v>
      </c>
      <c r="G77" s="131">
        <f>IF(Design!$H$19="x",D77,0)</f>
        <v>0</v>
      </c>
      <c r="H77" s="131">
        <f>SUM(C77:C78)/2</f>
        <v>70.938410395176348</v>
      </c>
      <c r="I77" s="131">
        <f>SUM(D77:D78)/2</f>
        <v>35.945428491800584</v>
      </c>
      <c r="J77" s="131">
        <f>IF(Design!$H$18="x",H77,0)</f>
        <v>70.938410395176348</v>
      </c>
      <c r="K77" s="131">
        <f>IF(Design!$H$18="x",I77,0)</f>
        <v>35.945428491800584</v>
      </c>
      <c r="L77" s="141"/>
      <c r="M77" s="131">
        <f t="shared" ref="M77:O78" si="37">M76</f>
        <v>5.8283514923131667</v>
      </c>
      <c r="N77" s="131">
        <f t="shared" si="37"/>
        <v>142.21869900319297</v>
      </c>
      <c r="O77" s="142">
        <f t="shared" si="37"/>
        <v>1142.2724225410216</v>
      </c>
      <c r="P77" s="129">
        <f t="shared" si="31"/>
        <v>571.13621127051078</v>
      </c>
      <c r="Q77" s="129">
        <f t="shared" si="32"/>
        <v>-571.13621127051078</v>
      </c>
      <c r="R77" s="45">
        <f t="shared" si="33"/>
        <v>128.40533626992817</v>
      </c>
      <c r="S77" s="129">
        <f>((Panels!$T$95-2*$S$70)*(N77-$N$70)/(Panels!$U$95-$N$70)+2*$S$70)/2</f>
        <v>506.9335431355467</v>
      </c>
      <c r="T77" s="129">
        <f t="shared" si="34"/>
        <v>-506.9335431355467</v>
      </c>
      <c r="U77" s="45">
        <f>IF(B78&gt;0,K77,"")</f>
        <v>35.945428491800584</v>
      </c>
    </row>
    <row r="78" spans="2:23" s="12" customFormat="1" ht="11.25" x14ac:dyDescent="0.2">
      <c r="B78" s="39">
        <f>B75+1</f>
        <v>26</v>
      </c>
      <c r="C78" s="133">
        <f>C75</f>
        <v>71.3</v>
      </c>
      <c r="D78" s="134">
        <f>D75</f>
        <v>45.4</v>
      </c>
      <c r="E78" s="134"/>
      <c r="F78" s="134">
        <f>IF(Design!$H$19="x",C78,0)</f>
        <v>0</v>
      </c>
      <c r="G78" s="134">
        <f>IF(Design!$H$19="x",D78,0)</f>
        <v>0</v>
      </c>
      <c r="H78" s="137"/>
      <c r="I78" s="138"/>
      <c r="J78" s="134">
        <f>J77</f>
        <v>70.938410395176348</v>
      </c>
      <c r="K78" s="134">
        <f>K77</f>
        <v>35.945428491800584</v>
      </c>
      <c r="L78" s="139"/>
      <c r="M78" s="134">
        <f t="shared" si="37"/>
        <v>5.8283514923131667</v>
      </c>
      <c r="N78" s="134">
        <f t="shared" si="37"/>
        <v>142.21869900319297</v>
      </c>
      <c r="O78" s="140">
        <f t="shared" si="37"/>
        <v>1142.2724225410216</v>
      </c>
      <c r="P78" s="129">
        <f t="shared" si="31"/>
        <v>571.13621127051078</v>
      </c>
      <c r="Q78" s="129">
        <f t="shared" si="32"/>
        <v>-571.13621127051078</v>
      </c>
      <c r="R78" s="45">
        <f t="shared" si="33"/>
        <v>128.40533626992817</v>
      </c>
      <c r="S78" s="129">
        <f>((Panels!$T$95-2*$S$70)*(N78-$N$70)/(Panels!$U$95-$N$70)+2*$S$70)/2</f>
        <v>506.9335431355467</v>
      </c>
      <c r="T78" s="129">
        <f t="shared" si="34"/>
        <v>-506.9335431355467</v>
      </c>
      <c r="U78" s="45">
        <f>IF(B78&gt;0,K78,"")</f>
        <v>35.945428491800584</v>
      </c>
    </row>
    <row r="79" spans="2:23" s="12" customFormat="1" ht="11.25" x14ac:dyDescent="0.2">
      <c r="B79" s="9"/>
      <c r="C79" s="149"/>
      <c r="D79" s="150"/>
      <c r="E79" s="150"/>
      <c r="F79" s="150"/>
      <c r="G79" s="150"/>
      <c r="H79" s="150"/>
      <c r="I79" s="150"/>
      <c r="J79" s="146">
        <f>J78</f>
        <v>70.938410395176348</v>
      </c>
      <c r="K79" s="146">
        <f>K78</f>
        <v>35.945428491800584</v>
      </c>
      <c r="L79" s="147"/>
      <c r="M79" s="134">
        <f>((H77-H74)^2+(I77-I74)^2)^0.5</f>
        <v>5.2089878589435816</v>
      </c>
      <c r="N79" s="134">
        <f>N76+M79</f>
        <v>147.42768686213654</v>
      </c>
      <c r="O79" s="140">
        <f>((C77-C78)^2+(D77-D78)^2)^0.5*Panels!$T$91</f>
        <v>1014.2710279437181</v>
      </c>
      <c r="P79" s="129">
        <f t="shared" si="31"/>
        <v>507.13551397185904</v>
      </c>
      <c r="Q79" s="129">
        <f t="shared" si="32"/>
        <v>-507.13551397185904</v>
      </c>
      <c r="R79" s="45">
        <f t="shared" si="33"/>
        <v>-18.687438536885111</v>
      </c>
      <c r="S79" s="129">
        <f>((Panels!$T$95-2*$S$70)*(N79-$N$70)/(Panels!$U$95-$N$70)+2*$S$70)/2</f>
        <v>516.4792332403016</v>
      </c>
      <c r="T79" s="129">
        <f t="shared" si="34"/>
        <v>-516.4792332403016</v>
      </c>
      <c r="U79" s="45">
        <f>IF(B78&gt;0,K79,"")</f>
        <v>35.945428491800584</v>
      </c>
      <c r="W79" s="45">
        <f>W76+M79</f>
        <v>95.943718794493634</v>
      </c>
    </row>
    <row r="80" spans="2:23" s="12" customFormat="1" ht="11.25" x14ac:dyDescent="0.2">
      <c r="B80" s="9"/>
      <c r="C80" s="133">
        <f>Panels!C51+(D80-D81)*Panels!S20</f>
        <v>79.300776962565578</v>
      </c>
      <c r="D80" s="134">
        <f>D78</f>
        <v>45.4</v>
      </c>
      <c r="E80" s="135"/>
      <c r="F80" s="131">
        <f>IF(Design!$H$19="x",C80,0)</f>
        <v>0</v>
      </c>
      <c r="G80" s="131">
        <f>IF(Design!$H$19="x",D80,0)</f>
        <v>0</v>
      </c>
      <c r="H80" s="134">
        <f>SUM(C80:C81)/2</f>
        <v>78.96100135006958</v>
      </c>
      <c r="I80" s="134">
        <f>SUM(D80:D81)/2</f>
        <v>35.664168695829702</v>
      </c>
      <c r="J80" s="131">
        <f>IF(Design!$H$18="x",H80,0)</f>
        <v>78.96100135006958</v>
      </c>
      <c r="K80" s="131">
        <f>IF(Design!$H$18="x",I80,0)</f>
        <v>35.664168695829702</v>
      </c>
      <c r="L80" s="141"/>
      <c r="M80" s="131">
        <f t="shared" ref="M80:O81" si="38">M79</f>
        <v>5.2089878589435816</v>
      </c>
      <c r="N80" s="131">
        <f t="shared" si="38"/>
        <v>147.42768686213654</v>
      </c>
      <c r="O80" s="142">
        <f t="shared" si="38"/>
        <v>1014.2710279437181</v>
      </c>
      <c r="P80" s="129">
        <f t="shared" si="31"/>
        <v>507.13551397185904</v>
      </c>
      <c r="Q80" s="129">
        <f t="shared" si="32"/>
        <v>-507.13551397185904</v>
      </c>
      <c r="R80" s="45">
        <f t="shared" si="33"/>
        <v>-18.687438536885111</v>
      </c>
      <c r="S80" s="129">
        <f>((Panels!$T$95-2*$S$70)*(N80-$N$70)/(Panels!$U$95-$N$70)+2*$S$70)/2</f>
        <v>516.4792332403016</v>
      </c>
      <c r="T80" s="129">
        <f t="shared" si="34"/>
        <v>-516.4792332403016</v>
      </c>
      <c r="U80" s="45">
        <f>IF(B81&gt;0,K80,"")</f>
        <v>35.664168695829702</v>
      </c>
    </row>
    <row r="81" spans="2:23" s="12" customFormat="1" ht="11.25" x14ac:dyDescent="0.2">
      <c r="B81" s="39">
        <f>B78+1</f>
        <v>27</v>
      </c>
      <c r="C81" s="133">
        <f>Panels!C51</f>
        <v>78.621225737573582</v>
      </c>
      <c r="D81" s="134">
        <f>Panels!D51</f>
        <v>25.928337391659412</v>
      </c>
      <c r="E81" s="135"/>
      <c r="F81" s="134">
        <f>IF(Design!$H$19="x",C81,0)</f>
        <v>0</v>
      </c>
      <c r="G81" s="134">
        <f>IF(Design!$H$19="x",D81,0)</f>
        <v>0</v>
      </c>
      <c r="H81" s="135"/>
      <c r="I81" s="135"/>
      <c r="J81" s="134">
        <f>J80</f>
        <v>78.96100135006958</v>
      </c>
      <c r="K81" s="134">
        <f>K80</f>
        <v>35.664168695829702</v>
      </c>
      <c r="L81" s="139"/>
      <c r="M81" s="134">
        <f t="shared" si="38"/>
        <v>5.2089878589435816</v>
      </c>
      <c r="N81" s="134">
        <f t="shared" si="38"/>
        <v>147.42768686213654</v>
      </c>
      <c r="O81" s="140">
        <f t="shared" si="38"/>
        <v>1014.2710279437181</v>
      </c>
      <c r="P81" s="129">
        <f t="shared" si="31"/>
        <v>507.13551397185904</v>
      </c>
      <c r="Q81" s="129">
        <f t="shared" si="32"/>
        <v>-507.13551397185904</v>
      </c>
      <c r="R81" s="45">
        <f t="shared" si="33"/>
        <v>-18.687438536885111</v>
      </c>
      <c r="S81" s="129">
        <f>((Panels!$T$95-2*$S$70)*(N81-$N$70)/(Panels!$U$95-$N$70)+2*$S$70)/2</f>
        <v>516.4792332403016</v>
      </c>
      <c r="T81" s="129">
        <f t="shared" si="34"/>
        <v>-516.4792332403016</v>
      </c>
      <c r="U81" s="45">
        <f>IF(B81&gt;0,K81,"")</f>
        <v>35.664168695829702</v>
      </c>
    </row>
    <row r="82" spans="2:23" s="12" customFormat="1" ht="11.25" x14ac:dyDescent="0.2">
      <c r="B82" s="9"/>
      <c r="C82" s="149"/>
      <c r="D82" s="150"/>
      <c r="E82" s="150"/>
      <c r="F82" s="150"/>
      <c r="G82" s="150"/>
      <c r="H82" s="150"/>
      <c r="I82" s="150"/>
      <c r="J82" s="146">
        <f>J81</f>
        <v>78.96100135006958</v>
      </c>
      <c r="K82" s="146">
        <f>K81</f>
        <v>35.664168695829702</v>
      </c>
      <c r="L82" s="147"/>
      <c r="M82" s="134">
        <f>((H80-H77)^2+(I80-I77)^2)^0.5</f>
        <v>8.0275197104936655</v>
      </c>
      <c r="N82" s="134">
        <f>N79+M82</f>
        <v>155.4552065726302</v>
      </c>
      <c r="O82" s="140">
        <f>((C80-C81)^2+(D80-D81)^2)^0.5*Panels!$T$91</f>
        <v>1044.3165110777823</v>
      </c>
      <c r="P82" s="129">
        <f t="shared" si="31"/>
        <v>522.15825553889113</v>
      </c>
      <c r="Q82" s="129">
        <f t="shared" si="32"/>
        <v>-522.15825553889113</v>
      </c>
      <c r="R82" s="45">
        <f t="shared" si="33"/>
        <v>-18.0634927690935</v>
      </c>
      <c r="S82" s="129">
        <f>((Panels!$T$95-2*$S$70)*(N82-$N$70)/(Panels!$U$95-$N$70)+2*$S$70)/2</f>
        <v>531.19000192343788</v>
      </c>
      <c r="T82" s="129">
        <f t="shared" si="34"/>
        <v>-531.19000192343788</v>
      </c>
      <c r="U82" s="45">
        <f>IF(B81&gt;0,K82,"")</f>
        <v>35.664168695829702</v>
      </c>
      <c r="W82" s="45">
        <f>W79+M82</f>
        <v>103.9712385049873</v>
      </c>
    </row>
    <row r="83" spans="2:23" s="12" customFormat="1" ht="11.25" x14ac:dyDescent="0.2">
      <c r="B83" s="9"/>
      <c r="C83" s="130">
        <f>(C80+Panels!C6)/2</f>
        <v>89.550388481282795</v>
      </c>
      <c r="D83" s="131">
        <f>D80</f>
        <v>45.4</v>
      </c>
      <c r="E83" s="132"/>
      <c r="F83" s="131">
        <f>IF(Design!$H$19="x",C83,0)</f>
        <v>0</v>
      </c>
      <c r="G83" s="131">
        <f>IF(Design!$H$19="x",D83,0)</f>
        <v>0</v>
      </c>
      <c r="H83" s="131">
        <f>SUM(C83:C84)/2</f>
        <v>84.085807109428188</v>
      </c>
      <c r="I83" s="131">
        <f>SUM(D83:D84)/2</f>
        <v>35.664168695829702</v>
      </c>
      <c r="J83" s="131">
        <f>IF(Design!$H$18="x",H83,0)</f>
        <v>84.085807109428188</v>
      </c>
      <c r="K83" s="131">
        <f>IF(Design!$H$18="x",I83,0)</f>
        <v>35.664168695829702</v>
      </c>
      <c r="L83" s="141"/>
      <c r="M83" s="131">
        <f t="shared" ref="M83:O84" si="39">M82</f>
        <v>8.0275197104936655</v>
      </c>
      <c r="N83" s="131">
        <f t="shared" si="39"/>
        <v>155.4552065726302</v>
      </c>
      <c r="O83" s="142">
        <f t="shared" si="39"/>
        <v>1044.3165110777823</v>
      </c>
      <c r="P83" s="129">
        <f t="shared" si="31"/>
        <v>522.15825553889113</v>
      </c>
      <c r="Q83" s="129">
        <f t="shared" si="32"/>
        <v>-522.15825553889113</v>
      </c>
      <c r="R83" s="45">
        <f t="shared" si="33"/>
        <v>-18.0634927690935</v>
      </c>
      <c r="S83" s="129">
        <f>((Panels!$T$95-2*$S$70)*(N83-$N$70)/(Panels!$U$95-$N$70)+2*$S$70)/2</f>
        <v>531.19000192343788</v>
      </c>
      <c r="T83" s="129">
        <f t="shared" si="34"/>
        <v>-531.19000192343788</v>
      </c>
      <c r="U83" s="45">
        <f>IF(B84&gt;0,K83,"")</f>
        <v>35.664168695829702</v>
      </c>
    </row>
    <row r="84" spans="2:23" s="12" customFormat="1" ht="11.25" x14ac:dyDescent="0.2">
      <c r="B84" s="39">
        <f>B81+1</f>
        <v>28</v>
      </c>
      <c r="C84" s="133">
        <f>C81</f>
        <v>78.621225737573582</v>
      </c>
      <c r="D84" s="134">
        <f>D81</f>
        <v>25.928337391659412</v>
      </c>
      <c r="E84" s="135"/>
      <c r="F84" s="134">
        <f>IF(Design!$H$19="x",C84,0)</f>
        <v>0</v>
      </c>
      <c r="G84" s="134">
        <f>IF(Design!$H$19="x",D84,0)</f>
        <v>0</v>
      </c>
      <c r="H84" s="137"/>
      <c r="I84" s="138"/>
      <c r="J84" s="134">
        <f>J83</f>
        <v>84.085807109428188</v>
      </c>
      <c r="K84" s="134">
        <f>K83</f>
        <v>35.664168695829702</v>
      </c>
      <c r="L84" s="139"/>
      <c r="M84" s="134">
        <f t="shared" si="39"/>
        <v>8.0275197104936655</v>
      </c>
      <c r="N84" s="134">
        <f t="shared" si="39"/>
        <v>155.4552065726302</v>
      </c>
      <c r="O84" s="140">
        <f t="shared" si="39"/>
        <v>1044.3165110777823</v>
      </c>
      <c r="P84" s="129">
        <f t="shared" si="31"/>
        <v>522.15825553889113</v>
      </c>
      <c r="Q84" s="129">
        <f t="shared" si="32"/>
        <v>-522.15825553889113</v>
      </c>
      <c r="R84" s="45">
        <f t="shared" si="33"/>
        <v>-18.0634927690935</v>
      </c>
      <c r="S84" s="129">
        <f>((Panels!$T$95-2*$S$70)*(N84-$N$70)/(Panels!$U$95-$N$70)+2*$S$70)/2</f>
        <v>531.19000192343788</v>
      </c>
      <c r="T84" s="129">
        <f t="shared" si="34"/>
        <v>-531.19000192343788</v>
      </c>
      <c r="U84" s="45">
        <f>IF(B84&gt;0,K84,"")</f>
        <v>35.664168695829702</v>
      </c>
    </row>
    <row r="85" spans="2:23" s="12" customFormat="1" ht="11.25" x14ac:dyDescent="0.2">
      <c r="B85" s="9"/>
      <c r="C85" s="133"/>
      <c r="D85" s="134"/>
      <c r="E85" s="135"/>
      <c r="F85" s="134"/>
      <c r="G85" s="134"/>
      <c r="H85" s="137"/>
      <c r="I85" s="138"/>
      <c r="J85" s="146">
        <f>J84</f>
        <v>84.085807109428188</v>
      </c>
      <c r="K85" s="146">
        <f>K84</f>
        <v>35.664168695829702</v>
      </c>
      <c r="L85" s="147"/>
      <c r="M85" s="134">
        <f>((H83-H80)^2+(I83-I80)^2)^0.5</f>
        <v>5.1248057593586083</v>
      </c>
      <c r="N85" s="134">
        <f>N82+M85</f>
        <v>160.58001233198883</v>
      </c>
      <c r="O85" s="140">
        <f>((C83-C84)^2+(D83-D84)^2)^0.5*Panels!$T$91</f>
        <v>1196.8440042388174</v>
      </c>
      <c r="P85" s="129">
        <f t="shared" si="31"/>
        <v>598.42200211940872</v>
      </c>
      <c r="Q85" s="129">
        <f t="shared" si="32"/>
        <v>-598.42200211940872</v>
      </c>
      <c r="R85" s="45">
        <f t="shared" si="33"/>
        <v>115.68115468347719</v>
      </c>
      <c r="S85" s="129">
        <f>((Panels!$T$95-2*$S$70)*(N85-$N$70)/(Panels!$U$95-$N$70)+2*$S$70)/2</f>
        <v>540.58142477767012</v>
      </c>
      <c r="T85" s="129">
        <f t="shared" si="34"/>
        <v>-540.58142477767012</v>
      </c>
      <c r="U85" s="45">
        <f>IF(B84&gt;0,K85,"")</f>
        <v>35.664168695829702</v>
      </c>
      <c r="W85" s="45">
        <f>W82+M85</f>
        <v>109.09604426434591</v>
      </c>
    </row>
    <row r="86" spans="2:23" s="12" customFormat="1" ht="11.25" x14ac:dyDescent="0.2">
      <c r="B86" s="9"/>
      <c r="C86" s="130">
        <f>Panels!C6</f>
        <v>99.8</v>
      </c>
      <c r="D86" s="131">
        <f>(D83+D89)/2</f>
        <v>35.294604414562421</v>
      </c>
      <c r="E86" s="132"/>
      <c r="F86" s="131">
        <f>IF(Design!$H$19="x",C86,0)</f>
        <v>0</v>
      </c>
      <c r="G86" s="131">
        <f>IF(Design!$H$19="x",D86,0)</f>
        <v>0</v>
      </c>
      <c r="H86" s="131">
        <f>SUM(C86:C87)/2</f>
        <v>89.210612868786797</v>
      </c>
      <c r="I86" s="131">
        <f>SUM(D86:D87)/2</f>
        <v>30.611470903110916</v>
      </c>
      <c r="J86" s="131">
        <f>IF(Design!$H$18="x",H86,0)</f>
        <v>89.210612868786797</v>
      </c>
      <c r="K86" s="131">
        <f>IF(Design!$H$18="x",I86,0)</f>
        <v>30.611470903110916</v>
      </c>
      <c r="L86" s="141"/>
      <c r="M86" s="131">
        <f t="shared" ref="M86:O87" si="40">M85</f>
        <v>5.1248057593586083</v>
      </c>
      <c r="N86" s="131">
        <f t="shared" si="40"/>
        <v>160.58001233198883</v>
      </c>
      <c r="O86" s="142">
        <f t="shared" si="40"/>
        <v>1196.8440042388174</v>
      </c>
      <c r="P86" s="129">
        <f t="shared" si="31"/>
        <v>598.42200211940872</v>
      </c>
      <c r="Q86" s="129">
        <f t="shared" si="32"/>
        <v>-598.42200211940872</v>
      </c>
      <c r="R86" s="45">
        <f t="shared" si="33"/>
        <v>115.68115468347719</v>
      </c>
      <c r="S86" s="129">
        <f>((Panels!$T$95-2*$S$70)*(N86-$N$70)/(Panels!$U$95-$N$70)+2*$S$70)/2</f>
        <v>540.58142477767012</v>
      </c>
      <c r="T86" s="129">
        <f t="shared" si="34"/>
        <v>-540.58142477767012</v>
      </c>
      <c r="U86" s="45">
        <f>IF(B87&gt;0,K86,"")</f>
        <v>30.611470903110916</v>
      </c>
    </row>
    <row r="87" spans="2:23" s="12" customFormat="1" ht="11.25" x14ac:dyDescent="0.2">
      <c r="B87" s="39">
        <f>B84+1</f>
        <v>29</v>
      </c>
      <c r="C87" s="133">
        <f>C84</f>
        <v>78.621225737573582</v>
      </c>
      <c r="D87" s="134">
        <f>D84</f>
        <v>25.928337391659412</v>
      </c>
      <c r="E87" s="135"/>
      <c r="F87" s="134">
        <f>IF(Design!$H$19="x",C87,0)</f>
        <v>0</v>
      </c>
      <c r="G87" s="134">
        <f>IF(Design!$H$19="x",D87,0)</f>
        <v>0</v>
      </c>
      <c r="H87" s="137"/>
      <c r="I87" s="138"/>
      <c r="J87" s="134">
        <f>J86</f>
        <v>89.210612868786797</v>
      </c>
      <c r="K87" s="134">
        <f>K86</f>
        <v>30.611470903110916</v>
      </c>
      <c r="L87" s="139"/>
      <c r="M87" s="134">
        <f t="shared" si="40"/>
        <v>5.1248057593586083</v>
      </c>
      <c r="N87" s="134">
        <f t="shared" si="40"/>
        <v>160.58001233198883</v>
      </c>
      <c r="O87" s="140">
        <f t="shared" si="40"/>
        <v>1196.8440042388174</v>
      </c>
      <c r="P87" s="129">
        <f t="shared" si="31"/>
        <v>598.42200211940872</v>
      </c>
      <c r="Q87" s="129">
        <f t="shared" si="32"/>
        <v>-598.42200211940872</v>
      </c>
      <c r="R87" s="45">
        <f t="shared" si="33"/>
        <v>115.68115468347719</v>
      </c>
      <c r="S87" s="129">
        <f>((Panels!$T$95-2*$S$70)*(N87-$N$70)/(Panels!$U$95-$N$70)+2*$S$70)/2</f>
        <v>540.58142477767012</v>
      </c>
      <c r="T87" s="129">
        <f t="shared" si="34"/>
        <v>-540.58142477767012</v>
      </c>
      <c r="U87" s="45">
        <f>IF(B87&gt;0,K87,"")</f>
        <v>30.611470903110916</v>
      </c>
    </row>
    <row r="88" spans="2:23" s="12" customFormat="1" ht="11.25" x14ac:dyDescent="0.2">
      <c r="B88" s="9"/>
      <c r="C88" s="149"/>
      <c r="D88" s="150"/>
      <c r="E88" s="150"/>
      <c r="F88" s="150"/>
      <c r="G88" s="150"/>
      <c r="H88" s="150"/>
      <c r="I88" s="150"/>
      <c r="J88" s="146">
        <f>J87</f>
        <v>89.210612868786797</v>
      </c>
      <c r="K88" s="146">
        <f>K87</f>
        <v>30.611470903110916</v>
      </c>
      <c r="L88" s="147"/>
      <c r="M88" s="134">
        <f>((H86-H83)^2+(I86-I83)^2)^0.5</f>
        <v>7.1967624009481126</v>
      </c>
      <c r="N88" s="134">
        <f>N85+M88</f>
        <v>167.77677473293693</v>
      </c>
      <c r="O88" s="140">
        <f>((C86-C87)^2+(D86-D87)^2)^0.5*Panels!$T$91</f>
        <v>1241.2392583169135</v>
      </c>
      <c r="P88" s="129">
        <f t="shared" si="31"/>
        <v>620.61962915845675</v>
      </c>
      <c r="Q88" s="129">
        <f t="shared" si="32"/>
        <v>-620.61962915845675</v>
      </c>
      <c r="R88" s="45">
        <f t="shared" si="33"/>
        <v>133.69966706153218</v>
      </c>
      <c r="S88" s="129">
        <f>((Panels!$T$95-2*$S$70)*(N88-$N$70)/(Panels!$U$95-$N$70)+2*$S$70)/2</f>
        <v>553.76979562769066</v>
      </c>
      <c r="T88" s="129">
        <f t="shared" si="34"/>
        <v>-553.76979562769066</v>
      </c>
      <c r="U88" s="45">
        <f>IF(B87&gt;0,K88,"")</f>
        <v>30.611470903110916</v>
      </c>
      <c r="W88" s="45">
        <f>W85+M88</f>
        <v>116.29280666529402</v>
      </c>
    </row>
    <row r="89" spans="2:23" s="12" customFormat="1" ht="11.25" x14ac:dyDescent="0.2">
      <c r="B89" s="9"/>
      <c r="C89" s="133">
        <f>C86</f>
        <v>99.8</v>
      </c>
      <c r="D89" s="134">
        <f>D87-(C89-C90)*Panels!S20</f>
        <v>25.189208829124848</v>
      </c>
      <c r="E89" s="135"/>
      <c r="F89" s="131">
        <f>IF(Design!$H$19="x",C89,0)</f>
        <v>0</v>
      </c>
      <c r="G89" s="131">
        <f>IF(Design!$H$19="x",D89,0)</f>
        <v>0</v>
      </c>
      <c r="H89" s="134">
        <f>SUM(C89:C90)/2</f>
        <v>89.210612868786797</v>
      </c>
      <c r="I89" s="134">
        <f>SUM(D89:D90)/2</f>
        <v>25.558773110392131</v>
      </c>
      <c r="J89" s="131">
        <f>IF(Design!$H$18="x",H89,0)</f>
        <v>89.210612868786797</v>
      </c>
      <c r="K89" s="131">
        <f>IF(Design!$H$18="x",I89,0)</f>
        <v>25.558773110392131</v>
      </c>
      <c r="L89" s="141"/>
      <c r="M89" s="131">
        <f t="shared" ref="M89:O90" si="41">M88</f>
        <v>7.1967624009481126</v>
      </c>
      <c r="N89" s="131">
        <f t="shared" si="41"/>
        <v>167.77677473293693</v>
      </c>
      <c r="O89" s="142">
        <f t="shared" si="41"/>
        <v>1241.2392583169135</v>
      </c>
      <c r="P89" s="129">
        <f t="shared" si="31"/>
        <v>620.61962915845675</v>
      </c>
      <c r="Q89" s="129">
        <f t="shared" si="32"/>
        <v>-620.61962915845675</v>
      </c>
      <c r="R89" s="45">
        <f t="shared" si="33"/>
        <v>133.69966706153218</v>
      </c>
      <c r="S89" s="129">
        <f>((Panels!$T$95-2*$S$70)*(N89-$N$70)/(Panels!$U$95-$N$70)+2*$S$70)/2</f>
        <v>553.76979562769066</v>
      </c>
      <c r="T89" s="129">
        <f t="shared" si="34"/>
        <v>-553.76979562769066</v>
      </c>
      <c r="U89" s="45">
        <f>IF(B90&gt;0,K89,"")</f>
        <v>25.558773110392131</v>
      </c>
    </row>
    <row r="90" spans="2:23" s="12" customFormat="1" ht="11.25" x14ac:dyDescent="0.2">
      <c r="B90" s="39">
        <f>B87+1</f>
        <v>30</v>
      </c>
      <c r="C90" s="133">
        <f>C87</f>
        <v>78.621225737573582</v>
      </c>
      <c r="D90" s="134">
        <f>D87</f>
        <v>25.928337391659412</v>
      </c>
      <c r="E90" s="135"/>
      <c r="F90" s="134">
        <f>IF(Design!$H$19="x",C90,0)</f>
        <v>0</v>
      </c>
      <c r="G90" s="134">
        <f>IF(Design!$H$19="x",D90,0)</f>
        <v>0</v>
      </c>
      <c r="H90" s="137"/>
      <c r="I90" s="138"/>
      <c r="J90" s="134">
        <f>J89</f>
        <v>89.210612868786797</v>
      </c>
      <c r="K90" s="134">
        <f>K89</f>
        <v>25.558773110392131</v>
      </c>
      <c r="L90" s="139"/>
      <c r="M90" s="134">
        <f t="shared" si="41"/>
        <v>7.1967624009481126</v>
      </c>
      <c r="N90" s="134">
        <f t="shared" si="41"/>
        <v>167.77677473293693</v>
      </c>
      <c r="O90" s="140">
        <f t="shared" si="41"/>
        <v>1241.2392583169135</v>
      </c>
      <c r="P90" s="129">
        <f t="shared" si="31"/>
        <v>620.61962915845675</v>
      </c>
      <c r="Q90" s="129">
        <f t="shared" si="32"/>
        <v>-620.61962915845675</v>
      </c>
      <c r="R90" s="45">
        <f t="shared" si="33"/>
        <v>133.69966706153218</v>
      </c>
      <c r="S90" s="129">
        <f>((Panels!$T$95-2*$S$70)*(N90-$N$70)/(Panels!$U$95-$N$70)+2*$S$70)/2</f>
        <v>553.76979562769066</v>
      </c>
      <c r="T90" s="129">
        <f t="shared" si="34"/>
        <v>-553.76979562769066</v>
      </c>
      <c r="U90" s="45">
        <f>IF(B90&gt;0,K90,"")</f>
        <v>25.558773110392131</v>
      </c>
    </row>
    <row r="91" spans="2:23" s="12" customFormat="1" ht="11.25" x14ac:dyDescent="0.2">
      <c r="B91" s="9"/>
      <c r="C91" s="148"/>
      <c r="D91" s="135"/>
      <c r="E91" s="135"/>
      <c r="F91" s="135"/>
      <c r="G91" s="135"/>
      <c r="H91" s="135"/>
      <c r="I91" s="135"/>
      <c r="J91" s="146">
        <f>J90</f>
        <v>89.210612868786797</v>
      </c>
      <c r="K91" s="146">
        <f>K90</f>
        <v>25.558773110392131</v>
      </c>
      <c r="L91" s="147"/>
      <c r="M91" s="134">
        <f>((H89-H86)^2+(I89-I86)^2)^0.5</f>
        <v>5.0526977927187851</v>
      </c>
      <c r="N91" s="134">
        <f>N88+M91</f>
        <v>172.82947252565572</v>
      </c>
      <c r="O91" s="140">
        <f>((C89-C90)^2+(D89-D90)^2)^0.5*Panels!$T$91</f>
        <v>1135.8734018515313</v>
      </c>
      <c r="P91" s="129">
        <f t="shared" si="31"/>
        <v>567.93670092576565</v>
      </c>
      <c r="Q91" s="129">
        <f t="shared" si="32"/>
        <v>-567.93670092576565</v>
      </c>
      <c r="R91" s="45">
        <f t="shared" si="33"/>
        <v>9.8152466722729059</v>
      </c>
      <c r="S91" s="129">
        <f>((Panels!$T$95-2*$S$70)*(N91-$N$70)/(Panels!$U$95-$N$70)+2*$S$70)/2</f>
        <v>563.0290775896292</v>
      </c>
      <c r="T91" s="129">
        <f t="shared" si="34"/>
        <v>-563.0290775896292</v>
      </c>
      <c r="U91" s="45">
        <f>IF(B90&gt;0,K91,"")</f>
        <v>25.558773110392131</v>
      </c>
      <c r="W91" s="45">
        <f>W88+M91</f>
        <v>121.34550445801281</v>
      </c>
    </row>
    <row r="92" spans="2:23" s="12" customFormat="1" ht="11.25" x14ac:dyDescent="0.2">
      <c r="B92" s="9"/>
      <c r="C92" s="130">
        <f>(C89+C95)/2</f>
        <v>99.8</v>
      </c>
      <c r="D92" s="131">
        <f>Panels!D50-(C89-C90)*Panels!S20</f>
        <v>23.393593538657164</v>
      </c>
      <c r="E92" s="132"/>
      <c r="F92" s="131">
        <f>IF(Design!$H$19="x",C92,0)</f>
        <v>0</v>
      </c>
      <c r="G92" s="131">
        <f>IF(Design!$H$19="x",D92,0)</f>
        <v>0</v>
      </c>
      <c r="H92" s="131">
        <f>SUM(C92:C93)/2</f>
        <v>89.147832042417079</v>
      </c>
      <c r="I92" s="131">
        <f>SUM(D92:D93)/2</f>
        <v>23.763157819924444</v>
      </c>
      <c r="J92" s="131">
        <f>IF(Design!$H$18="x",H92,0)</f>
        <v>89.147832042417079</v>
      </c>
      <c r="K92" s="131">
        <f>IF(Design!$H$18="x",I92,0)</f>
        <v>23.763157819924444</v>
      </c>
      <c r="L92" s="141"/>
      <c r="M92" s="131">
        <f t="shared" ref="M92:O93" si="42">M91</f>
        <v>5.0526977927187851</v>
      </c>
      <c r="N92" s="131">
        <f t="shared" si="42"/>
        <v>172.82947252565572</v>
      </c>
      <c r="O92" s="142">
        <f t="shared" si="42"/>
        <v>1135.8734018515313</v>
      </c>
      <c r="P92" s="129">
        <f t="shared" si="31"/>
        <v>567.93670092576565</v>
      </c>
      <c r="Q92" s="129">
        <f t="shared" si="32"/>
        <v>-567.93670092576565</v>
      </c>
      <c r="R92" s="45">
        <f t="shared" si="33"/>
        <v>9.8152466722729059</v>
      </c>
      <c r="S92" s="129">
        <f>((Panels!$T$95-2*$S$70)*(N92-$N$70)/(Panels!$U$95-$N$70)+2*$S$70)/2</f>
        <v>563.0290775896292</v>
      </c>
      <c r="T92" s="129">
        <f t="shared" si="34"/>
        <v>-563.0290775896292</v>
      </c>
      <c r="U92" s="45">
        <f>IF(B93&gt;0,K92,"")</f>
        <v>23.763157819924444</v>
      </c>
    </row>
    <row r="93" spans="2:23" s="12" customFormat="1" ht="11.25" x14ac:dyDescent="0.2">
      <c r="B93" s="39">
        <f>B90+1</f>
        <v>31</v>
      </c>
      <c r="C93" s="133">
        <f>Panels!C50</f>
        <v>78.495664084834161</v>
      </c>
      <c r="D93" s="134">
        <f>Panels!D50</f>
        <v>24.132722101191728</v>
      </c>
      <c r="E93" s="135"/>
      <c r="F93" s="134">
        <f>IF(Design!$H$19="x",C93,0)</f>
        <v>0</v>
      </c>
      <c r="G93" s="134">
        <f>IF(Design!$H$19="x",D93,0)</f>
        <v>0</v>
      </c>
      <c r="H93" s="137"/>
      <c r="I93" s="138"/>
      <c r="J93" s="134">
        <f>J92</f>
        <v>89.147832042417079</v>
      </c>
      <c r="K93" s="134">
        <f>K92</f>
        <v>23.763157819924444</v>
      </c>
      <c r="L93" s="139"/>
      <c r="M93" s="134">
        <f t="shared" si="42"/>
        <v>5.0526977927187851</v>
      </c>
      <c r="N93" s="134">
        <f t="shared" si="42"/>
        <v>172.82947252565572</v>
      </c>
      <c r="O93" s="140">
        <f t="shared" si="42"/>
        <v>1135.8734018515313</v>
      </c>
      <c r="P93" s="129">
        <f t="shared" si="31"/>
        <v>567.93670092576565</v>
      </c>
      <c r="Q93" s="129">
        <f t="shared" si="32"/>
        <v>-567.93670092576565</v>
      </c>
      <c r="R93" s="45">
        <f t="shared" si="33"/>
        <v>9.8152466722729059</v>
      </c>
      <c r="S93" s="129">
        <f>((Panels!$T$95-2*$S$70)*(N93-$N$70)/(Panels!$U$95-$N$70)+2*$S$70)/2</f>
        <v>563.0290775896292</v>
      </c>
      <c r="T93" s="129">
        <f t="shared" si="34"/>
        <v>-563.0290775896292</v>
      </c>
      <c r="U93" s="45">
        <f>IF(B93&gt;0,K93,"")</f>
        <v>23.763157819924444</v>
      </c>
    </row>
    <row r="94" spans="2:23" s="12" customFormat="1" ht="11.25" x14ac:dyDescent="0.2">
      <c r="B94" s="9"/>
      <c r="C94" s="149"/>
      <c r="D94" s="150"/>
      <c r="E94" s="150"/>
      <c r="F94" s="150"/>
      <c r="G94" s="150"/>
      <c r="H94" s="150"/>
      <c r="I94" s="150"/>
      <c r="J94" s="146">
        <f>J93</f>
        <v>89.147832042417079</v>
      </c>
      <c r="K94" s="146">
        <f>K93</f>
        <v>23.763157819924444</v>
      </c>
      <c r="L94" s="147"/>
      <c r="M94" s="134">
        <f>((H92-H89)^2+(I92-I89)^2)^0.5</f>
        <v>1.7967124710206195</v>
      </c>
      <c r="N94" s="134">
        <f>N91+M94</f>
        <v>174.62618499667633</v>
      </c>
      <c r="O94" s="140">
        <f>((C92-C93)^2+(D92-D93)^2)^0.5*Panels!$T$91</f>
        <v>1142.5994357411687</v>
      </c>
      <c r="P94" s="129">
        <f t="shared" si="31"/>
        <v>571.29971787058435</v>
      </c>
      <c r="Q94" s="129">
        <f t="shared" si="32"/>
        <v>-571.29971787058435</v>
      </c>
      <c r="R94" s="45">
        <f t="shared" si="33"/>
        <v>9.9561776896646279</v>
      </c>
      <c r="S94" s="129">
        <f>((Panels!$T$95-2*$S$70)*(N94-$N$70)/(Panels!$U$95-$N$70)+2*$S$70)/2</f>
        <v>566.32162902575203</v>
      </c>
      <c r="T94" s="129">
        <f t="shared" si="34"/>
        <v>-566.32162902575203</v>
      </c>
      <c r="U94" s="45">
        <f>IF(B93&gt;0,K94,"")</f>
        <v>23.763157819924444</v>
      </c>
      <c r="W94" s="45">
        <f>W91+M94</f>
        <v>123.14221692903344</v>
      </c>
    </row>
    <row r="95" spans="2:23" s="12" customFormat="1" ht="11.25" x14ac:dyDescent="0.2">
      <c r="B95" s="9"/>
      <c r="C95" s="133">
        <f>C89</f>
        <v>99.8</v>
      </c>
      <c r="D95" s="134">
        <f>(D92+Panels!D31)/2</f>
        <v>12.596796769328582</v>
      </c>
      <c r="E95" s="135"/>
      <c r="F95" s="131">
        <f>IF(Design!$H$19="x",C95,0)</f>
        <v>0</v>
      </c>
      <c r="G95" s="131">
        <f>IF(Design!$H$19="x",D95,0)</f>
        <v>0</v>
      </c>
      <c r="H95" s="134">
        <f>SUM(C95:C96)/2</f>
        <v>89.147832042417079</v>
      </c>
      <c r="I95" s="134">
        <f>SUM(D95:D96)/2</f>
        <v>18.364759435260154</v>
      </c>
      <c r="J95" s="131">
        <f>IF(Design!$H$18="x",H95,0)</f>
        <v>89.147832042417079</v>
      </c>
      <c r="K95" s="131">
        <f>IF(Design!$H$18="x",I95,0)</f>
        <v>18.364759435260154</v>
      </c>
      <c r="L95" s="141"/>
      <c r="M95" s="131">
        <f t="shared" ref="M95:O96" si="43">M94</f>
        <v>1.7967124710206195</v>
      </c>
      <c r="N95" s="131">
        <f t="shared" si="43"/>
        <v>174.62618499667633</v>
      </c>
      <c r="O95" s="142">
        <f t="shared" si="43"/>
        <v>1142.5994357411687</v>
      </c>
      <c r="P95" s="129">
        <f t="shared" si="31"/>
        <v>571.29971787058435</v>
      </c>
      <c r="Q95" s="129">
        <f t="shared" si="32"/>
        <v>-571.29971787058435</v>
      </c>
      <c r="R95" s="45">
        <f t="shared" si="33"/>
        <v>9.9561776896646279</v>
      </c>
      <c r="S95" s="129">
        <f>((Panels!$T$95-2*$S$70)*(N95-$N$70)/(Panels!$U$95-$N$70)+2*$S$70)/2</f>
        <v>566.32162902575203</v>
      </c>
      <c r="T95" s="129">
        <f t="shared" si="34"/>
        <v>-566.32162902575203</v>
      </c>
      <c r="U95" s="45">
        <f>IF(B96&gt;0,K95,"")</f>
        <v>18.364759435260154</v>
      </c>
    </row>
    <row r="96" spans="2:23" s="12" customFormat="1" ht="11.25" x14ac:dyDescent="0.2">
      <c r="B96" s="39">
        <f>B93+1</f>
        <v>32</v>
      </c>
      <c r="C96" s="133">
        <f>Panels!C50</f>
        <v>78.495664084834161</v>
      </c>
      <c r="D96" s="134">
        <f>Panels!D50</f>
        <v>24.132722101191728</v>
      </c>
      <c r="E96" s="135"/>
      <c r="F96" s="134">
        <f>IF(Design!$H$19="x",C96,0)</f>
        <v>0</v>
      </c>
      <c r="G96" s="134">
        <f>IF(Design!$H$19="x",D96,0)</f>
        <v>0</v>
      </c>
      <c r="H96" s="137"/>
      <c r="I96" s="138"/>
      <c r="J96" s="134">
        <f>J95</f>
        <v>89.147832042417079</v>
      </c>
      <c r="K96" s="134">
        <f>K95</f>
        <v>18.364759435260154</v>
      </c>
      <c r="L96" s="139"/>
      <c r="M96" s="134">
        <f t="shared" si="43"/>
        <v>1.7967124710206195</v>
      </c>
      <c r="N96" s="134">
        <f t="shared" si="43"/>
        <v>174.62618499667633</v>
      </c>
      <c r="O96" s="140">
        <f t="shared" si="43"/>
        <v>1142.5994357411687</v>
      </c>
      <c r="P96" s="129">
        <f t="shared" si="31"/>
        <v>571.29971787058435</v>
      </c>
      <c r="Q96" s="129">
        <f t="shared" si="32"/>
        <v>-571.29971787058435</v>
      </c>
      <c r="R96" s="45">
        <f t="shared" si="33"/>
        <v>9.9561776896646279</v>
      </c>
      <c r="S96" s="129">
        <f>((Panels!$T$95-2*$S$70)*(N96-$N$70)/(Panels!$U$95-$N$70)+2*$S$70)/2</f>
        <v>566.32162902575203</v>
      </c>
      <c r="T96" s="129">
        <f t="shared" si="34"/>
        <v>-566.32162902575203</v>
      </c>
      <c r="U96" s="45">
        <f>IF(B96&gt;0,K96,"")</f>
        <v>18.364759435260154</v>
      </c>
    </row>
    <row r="97" spans="2:23" s="12" customFormat="1" ht="11.25" x14ac:dyDescent="0.2">
      <c r="B97" s="9"/>
      <c r="C97" s="148"/>
      <c r="D97" s="135"/>
      <c r="E97" s="135"/>
      <c r="F97" s="135"/>
      <c r="G97" s="135"/>
      <c r="H97" s="135"/>
      <c r="I97" s="135"/>
      <c r="J97" s="146">
        <f>J96</f>
        <v>89.147832042417079</v>
      </c>
      <c r="K97" s="146">
        <f>K96</f>
        <v>18.364759435260154</v>
      </c>
      <c r="L97" s="147"/>
      <c r="M97" s="134">
        <f>((H95-H92)^2+(I95-I92)^2)^0.5</f>
        <v>5.39839838466429</v>
      </c>
      <c r="N97" s="134">
        <f>N94+M97</f>
        <v>180.02458338134062</v>
      </c>
      <c r="O97" s="140">
        <f>((C95-C96)^2+(D95-D96)^2)^0.5*Panels!$T$91</f>
        <v>1298.5724799538118</v>
      </c>
      <c r="P97" s="129">
        <f t="shared" si="31"/>
        <v>649.2862399769059</v>
      </c>
      <c r="Q97" s="129">
        <f t="shared" si="32"/>
        <v>-649.2862399769059</v>
      </c>
      <c r="R97" s="45">
        <f t="shared" si="33"/>
        <v>146.14363612731381</v>
      </c>
      <c r="S97" s="129">
        <f>((Panels!$T$95-2*$S$70)*(N97-$N$70)/(Panels!$U$95-$N$70)+2*$S$70)/2</f>
        <v>576.214421913249</v>
      </c>
      <c r="T97" s="129">
        <f t="shared" si="34"/>
        <v>-576.214421913249</v>
      </c>
      <c r="U97" s="45">
        <f>IF(B96&gt;0,K97,"")</f>
        <v>18.364759435260154</v>
      </c>
      <c r="W97" s="45">
        <f>W94+M97</f>
        <v>128.54061531369774</v>
      </c>
    </row>
    <row r="98" spans="2:23" s="12" customFormat="1" ht="11.25" x14ac:dyDescent="0.2">
      <c r="B98" s="9"/>
      <c r="C98" s="130">
        <f>(C99+C95)/2</f>
        <v>89.147832042417079</v>
      </c>
      <c r="D98" s="131">
        <f>Panels!D31</f>
        <v>1.8</v>
      </c>
      <c r="E98" s="132"/>
      <c r="F98" s="131">
        <f>IF(Design!$H$19="x",C98,0)</f>
        <v>0</v>
      </c>
      <c r="G98" s="131">
        <f>IF(Design!$H$19="x",D98,0)</f>
        <v>0</v>
      </c>
      <c r="H98" s="131">
        <f>SUM(C98:C99)/2</f>
        <v>83.82174806362562</v>
      </c>
      <c r="I98" s="131">
        <f>SUM(D98:D99)/2</f>
        <v>12.966361050595864</v>
      </c>
      <c r="J98" s="131">
        <f>IF(Design!$H$18="x",H98,0)</f>
        <v>83.82174806362562</v>
      </c>
      <c r="K98" s="131">
        <f>IF(Design!$H$18="x",I98,0)</f>
        <v>12.966361050595864</v>
      </c>
      <c r="L98" s="141"/>
      <c r="M98" s="131">
        <f t="shared" ref="M98:O99" si="44">M97</f>
        <v>5.39839838466429</v>
      </c>
      <c r="N98" s="131">
        <f t="shared" si="44"/>
        <v>180.02458338134062</v>
      </c>
      <c r="O98" s="142">
        <f t="shared" si="44"/>
        <v>1298.5724799538118</v>
      </c>
      <c r="P98" s="129">
        <f t="shared" si="31"/>
        <v>649.2862399769059</v>
      </c>
      <c r="Q98" s="129">
        <f t="shared" si="32"/>
        <v>-649.2862399769059</v>
      </c>
      <c r="R98" s="45">
        <f t="shared" si="33"/>
        <v>146.14363612731381</v>
      </c>
      <c r="S98" s="129">
        <f>((Panels!$T$95-2*$S$70)*(N98-$N$70)/(Panels!$U$95-$N$70)+2*$S$70)/2</f>
        <v>576.214421913249</v>
      </c>
      <c r="T98" s="129">
        <f t="shared" si="34"/>
        <v>-576.214421913249</v>
      </c>
      <c r="U98" s="45">
        <f>IF(B99&gt;0,K98,"")</f>
        <v>12.966361050595864</v>
      </c>
    </row>
    <row r="99" spans="2:23" s="12" customFormat="1" ht="11.25" x14ac:dyDescent="0.2">
      <c r="B99" s="39">
        <f>B96+1</f>
        <v>33</v>
      </c>
      <c r="C99" s="133">
        <f>C96</f>
        <v>78.495664084834161</v>
      </c>
      <c r="D99" s="134">
        <f>D96</f>
        <v>24.132722101191728</v>
      </c>
      <c r="E99" s="135"/>
      <c r="F99" s="134">
        <f>IF(Design!$H$19="x",C99,0)</f>
        <v>0</v>
      </c>
      <c r="G99" s="134">
        <f>IF(Design!$H$19="x",D99,0)</f>
        <v>0</v>
      </c>
      <c r="H99" s="137"/>
      <c r="I99" s="138"/>
      <c r="J99" s="134">
        <f>J98</f>
        <v>83.82174806362562</v>
      </c>
      <c r="K99" s="134">
        <f>K98</f>
        <v>12.966361050595864</v>
      </c>
      <c r="L99" s="139"/>
      <c r="M99" s="134">
        <f t="shared" si="44"/>
        <v>5.39839838466429</v>
      </c>
      <c r="N99" s="134">
        <f t="shared" si="44"/>
        <v>180.02458338134062</v>
      </c>
      <c r="O99" s="140">
        <f t="shared" si="44"/>
        <v>1298.5724799538118</v>
      </c>
      <c r="P99" s="129">
        <f t="shared" si="31"/>
        <v>649.2862399769059</v>
      </c>
      <c r="Q99" s="129">
        <f t="shared" si="32"/>
        <v>-649.2862399769059</v>
      </c>
      <c r="R99" s="45">
        <f t="shared" si="33"/>
        <v>146.14363612731381</v>
      </c>
      <c r="S99" s="129">
        <f>((Panels!$T$95-2*$S$70)*(N99-$N$70)/(Panels!$U$95-$N$70)+2*$S$70)/2</f>
        <v>576.214421913249</v>
      </c>
      <c r="T99" s="129">
        <f t="shared" si="34"/>
        <v>-576.214421913249</v>
      </c>
      <c r="U99" s="45">
        <f>IF(B99&gt;0,K99,"")</f>
        <v>12.966361050595864</v>
      </c>
    </row>
    <row r="100" spans="2:23" s="12" customFormat="1" ht="11.25" x14ac:dyDescent="0.2">
      <c r="B100" s="9"/>
      <c r="C100" s="149"/>
      <c r="D100" s="150"/>
      <c r="E100" s="150"/>
      <c r="F100" s="150"/>
      <c r="G100" s="150"/>
      <c r="H100" s="150"/>
      <c r="I100" s="150"/>
      <c r="J100" s="146">
        <f>J99</f>
        <v>83.82174806362562</v>
      </c>
      <c r="K100" s="146">
        <f>K99</f>
        <v>12.966361050595864</v>
      </c>
      <c r="L100" s="147"/>
      <c r="M100" s="134">
        <f>((H98-H95)^2+(I98-I95)^2)^0.5</f>
        <v>7.5835265984029538</v>
      </c>
      <c r="N100" s="134">
        <f>N97+M100</f>
        <v>187.60810997974357</v>
      </c>
      <c r="O100" s="140">
        <f>((C98-C99)^2+(D98-D99)^2)^0.5*Panels!$T$91</f>
        <v>1326.2281681605555</v>
      </c>
      <c r="P100" s="129">
        <f t="shared" si="31"/>
        <v>663.11408408027773</v>
      </c>
      <c r="Q100" s="129">
        <f t="shared" si="32"/>
        <v>-663.11408408027773</v>
      </c>
      <c r="R100" s="45">
        <f t="shared" si="33"/>
        <v>146.00505920240403</v>
      </c>
      <c r="S100" s="129">
        <f>((Panels!$T$95-2*$S$70)*(N100-$N$70)/(Panels!$U$95-$N$70)+2*$S$70)/2</f>
        <v>590.11155447907572</v>
      </c>
      <c r="T100" s="129">
        <f t="shared" si="34"/>
        <v>-590.11155447907572</v>
      </c>
      <c r="U100" s="45">
        <f>IF(B99&gt;0,K100,"")</f>
        <v>12.966361050595864</v>
      </c>
      <c r="W100" s="45">
        <f>W97+M100</f>
        <v>136.1241419121007</v>
      </c>
    </row>
    <row r="101" spans="2:23" s="12" customFormat="1" ht="11.25" x14ac:dyDescent="0.2">
      <c r="B101" s="9"/>
      <c r="C101" s="133">
        <f>C99</f>
        <v>78.495664084834161</v>
      </c>
      <c r="D101" s="134">
        <f>D99</f>
        <v>24.132722101191728</v>
      </c>
      <c r="E101" s="135"/>
      <c r="F101" s="131">
        <f>IF(Design!$H$19="x",C101,0)</f>
        <v>0</v>
      </c>
      <c r="G101" s="131">
        <f>IF(Design!$H$19="x",D101,0)</f>
        <v>0</v>
      </c>
      <c r="H101" s="134">
        <f>SUM(C101:C102)/2</f>
        <v>78.105963704169952</v>
      </c>
      <c r="I101" s="134">
        <f>SUM(D101:D102)/2</f>
        <v>12.966361050595864</v>
      </c>
      <c r="J101" s="131">
        <f>IF(Design!$H$18="x",H101,0)</f>
        <v>78.105963704169952</v>
      </c>
      <c r="K101" s="131">
        <f>IF(Design!$H$18="x",I101,0)</f>
        <v>12.966361050595864</v>
      </c>
      <c r="L101" s="141"/>
      <c r="M101" s="131">
        <f t="shared" ref="M101:O102" si="45">M100</f>
        <v>7.5835265984029538</v>
      </c>
      <c r="N101" s="131">
        <f t="shared" si="45"/>
        <v>187.60810997974357</v>
      </c>
      <c r="O101" s="142">
        <f t="shared" si="45"/>
        <v>1326.2281681605555</v>
      </c>
      <c r="P101" s="129">
        <f t="shared" ref="P101:P130" si="46">O101/2</f>
        <v>663.11408408027773</v>
      </c>
      <c r="Q101" s="129">
        <f t="shared" ref="Q101:Q130" si="47">-P101</f>
        <v>-663.11408408027773</v>
      </c>
      <c r="R101" s="45">
        <f t="shared" ref="R101:R130" si="48">(P101-S101)*2</f>
        <v>146.00505920240403</v>
      </c>
      <c r="S101" s="129">
        <f>((Panels!$T$95-2*$S$70)*(N101-$N$70)/(Panels!$U$95-$N$70)+2*$S$70)/2</f>
        <v>590.11155447907572</v>
      </c>
      <c r="T101" s="129">
        <f t="shared" ref="T101:T130" si="49">-S101</f>
        <v>-590.11155447907572</v>
      </c>
      <c r="U101" s="45">
        <f>IF(B102&gt;0,K101,"")</f>
        <v>12.966361050595864</v>
      </c>
    </row>
    <row r="102" spans="2:23" s="12" customFormat="1" ht="11.25" x14ac:dyDescent="0.2">
      <c r="B102" s="39">
        <f>B99+1</f>
        <v>34</v>
      </c>
      <c r="C102" s="133">
        <f>C99-(D101-D102)*Panels!S20</f>
        <v>77.716263323505743</v>
      </c>
      <c r="D102" s="134">
        <f>D98</f>
        <v>1.8</v>
      </c>
      <c r="E102" s="135"/>
      <c r="F102" s="134">
        <f>IF(Design!$H$19="x",C102,0)</f>
        <v>0</v>
      </c>
      <c r="G102" s="134">
        <f>IF(Design!$H$19="x",D102,0)</f>
        <v>0</v>
      </c>
      <c r="H102" s="137"/>
      <c r="I102" s="138"/>
      <c r="J102" s="134">
        <f>J101</f>
        <v>78.105963704169952</v>
      </c>
      <c r="K102" s="134">
        <f>K101</f>
        <v>12.966361050595864</v>
      </c>
      <c r="L102" s="139"/>
      <c r="M102" s="134">
        <f t="shared" si="45"/>
        <v>7.5835265984029538</v>
      </c>
      <c r="N102" s="134">
        <f t="shared" si="45"/>
        <v>187.60810997974357</v>
      </c>
      <c r="O102" s="140">
        <f t="shared" si="45"/>
        <v>1326.2281681605555</v>
      </c>
      <c r="P102" s="129">
        <f t="shared" si="46"/>
        <v>663.11408408027773</v>
      </c>
      <c r="Q102" s="129">
        <f t="shared" si="47"/>
        <v>-663.11408408027773</v>
      </c>
      <c r="R102" s="45">
        <f t="shared" si="48"/>
        <v>146.00505920240403</v>
      </c>
      <c r="S102" s="129">
        <f>((Panels!$T$95-2*$S$70)*(N102-$N$70)/(Panels!$U$95-$N$70)+2*$S$70)/2</f>
        <v>590.11155447907572</v>
      </c>
      <c r="T102" s="129">
        <f t="shared" si="49"/>
        <v>-590.11155447907572</v>
      </c>
      <c r="U102" s="45">
        <f>IF(B102&gt;0,K102,"")</f>
        <v>12.966361050595864</v>
      </c>
    </row>
    <row r="103" spans="2:23" s="12" customFormat="1" ht="11.25" x14ac:dyDescent="0.2">
      <c r="B103" s="9"/>
      <c r="C103" s="148"/>
      <c r="D103" s="135"/>
      <c r="E103" s="135"/>
      <c r="F103" s="135"/>
      <c r="G103" s="135"/>
      <c r="H103" s="135"/>
      <c r="I103" s="135"/>
      <c r="J103" s="146">
        <f>J102</f>
        <v>78.105963704169952</v>
      </c>
      <c r="K103" s="146">
        <f>K102</f>
        <v>12.966361050595864</v>
      </c>
      <c r="L103" s="147"/>
      <c r="M103" s="134">
        <f>((H101-H98)^2+(I101-I98)^2)^0.5</f>
        <v>5.7157843594556681</v>
      </c>
      <c r="N103" s="134">
        <f>N100+M103</f>
        <v>193.32389433919923</v>
      </c>
      <c r="O103" s="140">
        <f>((C101-C102)^2+(D101-D102)^2)^0.5*Panels!$T$91</f>
        <v>1197.7626613967818</v>
      </c>
      <c r="P103" s="129">
        <f t="shared" si="46"/>
        <v>598.88133069839091</v>
      </c>
      <c r="Q103" s="129">
        <f t="shared" si="47"/>
        <v>-598.88133069839091</v>
      </c>
      <c r="R103" s="45">
        <f t="shared" si="48"/>
        <v>-3.4092797254875222</v>
      </c>
      <c r="S103" s="129">
        <f>((Panels!$T$95-2*$S$70)*(N103-$N$70)/(Panels!$U$95-$N$70)+2*$S$70)/2</f>
        <v>600.58597056113467</v>
      </c>
      <c r="T103" s="129">
        <f t="shared" si="49"/>
        <v>-600.58597056113467</v>
      </c>
      <c r="U103" s="45">
        <f>IF(B102&gt;0,K103,"")</f>
        <v>12.966361050595864</v>
      </c>
      <c r="W103" s="45">
        <f>W100+M103</f>
        <v>141.83992627155635</v>
      </c>
    </row>
    <row r="104" spans="2:23" s="12" customFormat="1" ht="11.25" x14ac:dyDescent="0.2">
      <c r="B104" s="9"/>
      <c r="C104" s="130">
        <f>Panels!C49</f>
        <v>35.10162789853181</v>
      </c>
      <c r="D104" s="131">
        <f>Panels!D49</f>
        <v>27.167128709061178</v>
      </c>
      <c r="E104" s="132"/>
      <c r="F104" s="131">
        <f>IF(Design!$H$19="x",C104,0)</f>
        <v>0</v>
      </c>
      <c r="G104" s="131">
        <f>IF(Design!$H$19="x",D104,0)</f>
        <v>0</v>
      </c>
      <c r="H104" s="131">
        <f>SUM(C104:C105)/2</f>
        <v>34.658977886164905</v>
      </c>
      <c r="I104" s="131">
        <f>SUM(D104:D105)/2</f>
        <v>14.483564354530589</v>
      </c>
      <c r="J104" s="131">
        <f>IF(Design!$H$18="x",H104,0)</f>
        <v>34.658977886164905</v>
      </c>
      <c r="K104" s="131">
        <f>IF(Design!$H$18="x",I104,0)</f>
        <v>14.483564354530589</v>
      </c>
      <c r="L104" s="141"/>
      <c r="M104" s="131">
        <f t="shared" ref="M104:O105" si="50">M103</f>
        <v>5.7157843594556681</v>
      </c>
      <c r="N104" s="131">
        <f t="shared" si="50"/>
        <v>193.32389433919923</v>
      </c>
      <c r="O104" s="142">
        <f t="shared" si="50"/>
        <v>1197.7626613967818</v>
      </c>
      <c r="P104" s="129">
        <f t="shared" si="46"/>
        <v>598.88133069839091</v>
      </c>
      <c r="Q104" s="129">
        <f t="shared" si="47"/>
        <v>-598.88133069839091</v>
      </c>
      <c r="R104" s="45">
        <f t="shared" si="48"/>
        <v>-3.4092797254875222</v>
      </c>
      <c r="S104" s="129">
        <f>((Panels!$T$95-2*$S$70)*(N104-$N$70)/(Panels!$U$95-$N$70)+2*$S$70)/2</f>
        <v>600.58597056113467</v>
      </c>
      <c r="T104" s="129">
        <f t="shared" si="49"/>
        <v>-600.58597056113467</v>
      </c>
      <c r="U104" s="45">
        <f>IF(B105&gt;0,K104,"")</f>
        <v>14.483564354530589</v>
      </c>
    </row>
    <row r="105" spans="2:23" s="12" customFormat="1" ht="11.25" x14ac:dyDescent="0.2">
      <c r="B105" s="39">
        <f>B102+1</f>
        <v>35</v>
      </c>
      <c r="C105" s="133">
        <f>C104-(D104-D105)*Panels!S20</f>
        <v>34.216327873798008</v>
      </c>
      <c r="D105" s="134">
        <f>D102</f>
        <v>1.8</v>
      </c>
      <c r="E105" s="135"/>
      <c r="F105" s="134">
        <f>IF(Design!$H$19="x",C105,0)</f>
        <v>0</v>
      </c>
      <c r="G105" s="134">
        <f>IF(Design!$H$19="x",D105,0)</f>
        <v>0</v>
      </c>
      <c r="H105" s="137"/>
      <c r="I105" s="138"/>
      <c r="J105" s="134">
        <f>J104</f>
        <v>34.658977886164905</v>
      </c>
      <c r="K105" s="134">
        <f>K104</f>
        <v>14.483564354530589</v>
      </c>
      <c r="L105" s="139"/>
      <c r="M105" s="134">
        <f t="shared" si="50"/>
        <v>5.7157843594556681</v>
      </c>
      <c r="N105" s="134">
        <f t="shared" si="50"/>
        <v>193.32389433919923</v>
      </c>
      <c r="O105" s="140">
        <f t="shared" si="50"/>
        <v>1197.7626613967818</v>
      </c>
      <c r="P105" s="129">
        <f t="shared" si="46"/>
        <v>598.88133069839091</v>
      </c>
      <c r="Q105" s="129">
        <f t="shared" si="47"/>
        <v>-598.88133069839091</v>
      </c>
      <c r="R105" s="45">
        <f t="shared" si="48"/>
        <v>-3.4092797254875222</v>
      </c>
      <c r="S105" s="129">
        <f>((Panels!$T$95-2*$S$70)*(N105-$N$70)/(Panels!$U$95-$N$70)+2*$S$70)/2</f>
        <v>600.58597056113467</v>
      </c>
      <c r="T105" s="129">
        <f t="shared" si="49"/>
        <v>-600.58597056113467</v>
      </c>
      <c r="U105" s="45">
        <f>IF(B105&gt;0,K105,"")</f>
        <v>14.483564354530589</v>
      </c>
    </row>
    <row r="106" spans="2:23" s="12" customFormat="1" ht="11.25" x14ac:dyDescent="0.2">
      <c r="B106" s="9"/>
      <c r="C106" s="149"/>
      <c r="D106" s="150"/>
      <c r="E106" s="150"/>
      <c r="F106" s="150"/>
      <c r="G106" s="150"/>
      <c r="H106" s="150"/>
      <c r="I106" s="150"/>
      <c r="J106" s="146">
        <f>J105</f>
        <v>34.658977886164905</v>
      </c>
      <c r="K106" s="146">
        <f>K105</f>
        <v>14.483564354530589</v>
      </c>
      <c r="L106" s="147"/>
      <c r="M106" s="134">
        <f>((H104-H101)^2+(I104-I101)^2)^0.5</f>
        <v>43.473468719845691</v>
      </c>
      <c r="N106" s="134">
        <f>N103+M106</f>
        <v>236.79736305904493</v>
      </c>
      <c r="O106" s="140">
        <f>((C104-C105)^2+(D104-D105)^2)^0.5*Panels!$T$91</f>
        <v>1360.5058737080005</v>
      </c>
      <c r="P106" s="129">
        <f t="shared" si="46"/>
        <v>680.25293685400027</v>
      </c>
      <c r="Q106" s="129">
        <f t="shared" si="47"/>
        <v>-680.25293685400027</v>
      </c>
      <c r="R106" s="45">
        <f t="shared" si="48"/>
        <v>0</v>
      </c>
      <c r="S106" s="129">
        <f>((Panels!$T$95-2*$S$70)*(N106-$N$70)/(Panels!$U$95-$N$70)+2*$S$70)/2</f>
        <v>680.25293685400027</v>
      </c>
      <c r="T106" s="129">
        <f t="shared" si="49"/>
        <v>-680.25293685400027</v>
      </c>
      <c r="U106" s="45">
        <f>IF(B105&gt;0,K106,"")</f>
        <v>14.483564354530589</v>
      </c>
      <c r="W106" s="45">
        <f>W103+M106</f>
        <v>185.31339499140205</v>
      </c>
    </row>
    <row r="107" spans="2:23" s="12" customFormat="1" ht="11.25" x14ac:dyDescent="0.2">
      <c r="B107" s="9"/>
      <c r="C107" s="133">
        <f>C104</f>
        <v>35.10162789853181</v>
      </c>
      <c r="D107" s="134">
        <f>D104</f>
        <v>27.167128709061178</v>
      </c>
      <c r="E107" s="135"/>
      <c r="F107" s="131">
        <f>IF(Design!$H$19="x",C107,0)</f>
        <v>0</v>
      </c>
      <c r="G107" s="131">
        <f>IF(Design!$H$19="x",D107,0)</f>
        <v>0</v>
      </c>
      <c r="H107" s="134">
        <f>SUM(C107:C108)/2</f>
        <v>26.554895917715406</v>
      </c>
      <c r="I107" s="134">
        <f>SUM(D107:D108)/2</f>
        <v>14.483564354530589</v>
      </c>
      <c r="J107" s="131">
        <f>IF(Design!$H$18="x",H107,0)</f>
        <v>26.554895917715406</v>
      </c>
      <c r="K107" s="131">
        <f>IF(Design!$H$18="x",I107,0)</f>
        <v>14.483564354530589</v>
      </c>
      <c r="L107" s="141"/>
      <c r="M107" s="131">
        <f t="shared" ref="M107:O108" si="51">M106</f>
        <v>43.473468719845691</v>
      </c>
      <c r="N107" s="131">
        <f t="shared" si="51"/>
        <v>236.79736305904493</v>
      </c>
      <c r="O107" s="142">
        <f t="shared" si="51"/>
        <v>1360.5058737080005</v>
      </c>
      <c r="P107" s="129">
        <f t="shared" si="46"/>
        <v>680.25293685400027</v>
      </c>
      <c r="Q107" s="129">
        <f t="shared" si="47"/>
        <v>-680.25293685400027</v>
      </c>
      <c r="R107" s="45">
        <f t="shared" si="48"/>
        <v>0</v>
      </c>
      <c r="S107" s="129">
        <f>(($O$130-Panels!$T$94)*(N107-Panels!$U$94)/($N$130-Panels!$U$94)+Panels!$T$94)/2</f>
        <v>680.25293685400027</v>
      </c>
      <c r="T107" s="129">
        <f t="shared" si="49"/>
        <v>-680.25293685400027</v>
      </c>
      <c r="U107" s="45">
        <f>IF(B108&gt;0,K107,"")</f>
        <v>14.483564354530589</v>
      </c>
    </row>
    <row r="108" spans="2:23" s="12" customFormat="1" ht="11.25" x14ac:dyDescent="0.2">
      <c r="B108" s="39">
        <f>B105+1</f>
        <v>36</v>
      </c>
      <c r="C108" s="133">
        <f>(C105+Panels!C33)/2</f>
        <v>18.008163936899003</v>
      </c>
      <c r="D108" s="134">
        <f>D105</f>
        <v>1.8</v>
      </c>
      <c r="E108" s="135"/>
      <c r="F108" s="134">
        <f>IF(Design!$H$19="x",C108,0)</f>
        <v>0</v>
      </c>
      <c r="G108" s="134">
        <f>IF(Design!$H$19="x",D108,0)</f>
        <v>0</v>
      </c>
      <c r="H108" s="137"/>
      <c r="I108" s="138"/>
      <c r="J108" s="134">
        <f>J107</f>
        <v>26.554895917715406</v>
      </c>
      <c r="K108" s="134">
        <f>K107</f>
        <v>14.483564354530589</v>
      </c>
      <c r="L108" s="139"/>
      <c r="M108" s="134">
        <f t="shared" si="51"/>
        <v>43.473468719845691</v>
      </c>
      <c r="N108" s="134">
        <f t="shared" si="51"/>
        <v>236.79736305904493</v>
      </c>
      <c r="O108" s="140">
        <f t="shared" si="51"/>
        <v>1360.5058737080005</v>
      </c>
      <c r="P108" s="129">
        <f t="shared" si="46"/>
        <v>680.25293685400027</v>
      </c>
      <c r="Q108" s="129">
        <f t="shared" si="47"/>
        <v>-680.25293685400027</v>
      </c>
      <c r="R108" s="45">
        <f t="shared" si="48"/>
        <v>0</v>
      </c>
      <c r="S108" s="129">
        <f>(($O$130-Panels!$T$94)*(N108-Panels!$U$94)/($N$130-Panels!$U$94)+Panels!$T$94)/2</f>
        <v>680.25293685400027</v>
      </c>
      <c r="T108" s="129">
        <f t="shared" si="49"/>
        <v>-680.25293685400027</v>
      </c>
      <c r="U108" s="45">
        <f>IF(B108&gt;0,K108,"")</f>
        <v>14.483564354530589</v>
      </c>
    </row>
    <row r="109" spans="2:23" s="12" customFormat="1" ht="11.25" x14ac:dyDescent="0.2">
      <c r="B109" s="9"/>
      <c r="C109" s="148"/>
      <c r="D109" s="135"/>
      <c r="E109" s="135"/>
      <c r="F109" s="135"/>
      <c r="G109" s="135"/>
      <c r="H109" s="135"/>
      <c r="I109" s="135"/>
      <c r="J109" s="146">
        <f>J108</f>
        <v>26.554895917715406</v>
      </c>
      <c r="K109" s="146">
        <f>K108</f>
        <v>14.483564354530589</v>
      </c>
      <c r="L109" s="147"/>
      <c r="M109" s="134">
        <f>((H107-H104)^2+(I107-I104)^2)^0.5</f>
        <v>8.1040819684494991</v>
      </c>
      <c r="N109" s="134">
        <f>N106+M109</f>
        <v>244.90144502749442</v>
      </c>
      <c r="O109" s="140">
        <f>((C107-C108)^2+(D107-D108)^2)^0.5*Panels!$T$91</f>
        <v>1639.5623467065734</v>
      </c>
      <c r="P109" s="129">
        <f t="shared" si="46"/>
        <v>819.7811733532867</v>
      </c>
      <c r="Q109" s="129">
        <f t="shared" si="47"/>
        <v>-819.7811733532867</v>
      </c>
      <c r="R109" s="45">
        <f t="shared" si="48"/>
        <v>156.36121880611063</v>
      </c>
      <c r="S109" s="129">
        <f>(($O$130-Panels!$T$94)*(N109-Panels!$U$94)/($N$130-Panels!$U$94)+Panels!$T$94)/2</f>
        <v>741.60056395023139</v>
      </c>
      <c r="T109" s="129">
        <f t="shared" si="49"/>
        <v>-741.60056395023139</v>
      </c>
      <c r="U109" s="45">
        <f>IF(B108&gt;0,K109,"")</f>
        <v>14.483564354530589</v>
      </c>
      <c r="W109" s="45">
        <f>W106+M109</f>
        <v>193.41747695985154</v>
      </c>
    </row>
    <row r="110" spans="2:23" s="12" customFormat="1" ht="11.25" x14ac:dyDescent="0.2">
      <c r="B110" s="9"/>
      <c r="C110" s="130">
        <f>C107</f>
        <v>35.10162789853181</v>
      </c>
      <c r="D110" s="131">
        <f>D107</f>
        <v>27.167128709061178</v>
      </c>
      <c r="E110" s="132"/>
      <c r="F110" s="131">
        <f>IF(Design!$H$19="x",C110,0)</f>
        <v>0</v>
      </c>
      <c r="G110" s="131">
        <f>IF(Design!$H$19="x",D110,0)</f>
        <v>0</v>
      </c>
      <c r="H110" s="131">
        <f>SUM(C110:C111)/2</f>
        <v>18.450813949265903</v>
      </c>
      <c r="I110" s="131">
        <f>SUM(D110:D111)/2</f>
        <v>20.825346531795883</v>
      </c>
      <c r="J110" s="131">
        <f>IF(Design!$H$18="x",H110,0)</f>
        <v>18.450813949265903</v>
      </c>
      <c r="K110" s="131">
        <f>IF(Design!$H$18="x",I110,0)</f>
        <v>20.825346531795883</v>
      </c>
      <c r="L110" s="141"/>
      <c r="M110" s="131">
        <f t="shared" ref="M110:O111" si="52">M109</f>
        <v>8.1040819684494991</v>
      </c>
      <c r="N110" s="131">
        <f t="shared" si="52"/>
        <v>244.90144502749442</v>
      </c>
      <c r="O110" s="142">
        <f t="shared" si="52"/>
        <v>1639.5623467065734</v>
      </c>
      <c r="P110" s="129">
        <f t="shared" si="46"/>
        <v>819.7811733532867</v>
      </c>
      <c r="Q110" s="129">
        <f t="shared" si="47"/>
        <v>-819.7811733532867</v>
      </c>
      <c r="R110" s="45">
        <f t="shared" si="48"/>
        <v>156.36121880611063</v>
      </c>
      <c r="S110" s="129">
        <f>(($O$130-Panels!$T$94)*(N110-Panels!$U$94)/($N$130-Panels!$U$94)+Panels!$T$94)/2</f>
        <v>741.60056395023139</v>
      </c>
      <c r="T110" s="129">
        <f t="shared" si="49"/>
        <v>-741.60056395023139</v>
      </c>
      <c r="U110" s="45">
        <f>IF(B111&gt;0,K110,"")</f>
        <v>20.825346531795883</v>
      </c>
    </row>
    <row r="111" spans="2:23" s="12" customFormat="1" ht="11.25" x14ac:dyDescent="0.2">
      <c r="B111" s="39">
        <f>B108+1</f>
        <v>37</v>
      </c>
      <c r="C111" s="133">
        <f>Panels!C30</f>
        <v>1.8</v>
      </c>
      <c r="D111" s="134">
        <f>(D107+D108)/2</f>
        <v>14.483564354530589</v>
      </c>
      <c r="E111" s="135"/>
      <c r="F111" s="134">
        <f>IF(Design!$H$19="x",C111,0)</f>
        <v>0</v>
      </c>
      <c r="G111" s="134">
        <f>IF(Design!$H$19="x",D111,0)</f>
        <v>0</v>
      </c>
      <c r="H111" s="137"/>
      <c r="I111" s="138"/>
      <c r="J111" s="134">
        <f>J110</f>
        <v>18.450813949265903</v>
      </c>
      <c r="K111" s="134">
        <f>K110</f>
        <v>20.825346531795883</v>
      </c>
      <c r="L111" s="139"/>
      <c r="M111" s="134">
        <f t="shared" si="52"/>
        <v>8.1040819684494991</v>
      </c>
      <c r="N111" s="134">
        <f t="shared" si="52"/>
        <v>244.90144502749442</v>
      </c>
      <c r="O111" s="140">
        <f t="shared" si="52"/>
        <v>1639.5623467065734</v>
      </c>
      <c r="P111" s="129">
        <f t="shared" si="46"/>
        <v>819.7811733532867</v>
      </c>
      <c r="Q111" s="129">
        <f t="shared" si="47"/>
        <v>-819.7811733532867</v>
      </c>
      <c r="R111" s="45">
        <f t="shared" si="48"/>
        <v>156.36121880611063</v>
      </c>
      <c r="S111" s="129">
        <f>(($O$130-Panels!$T$94)*(N111-Panels!$U$94)/($N$130-Panels!$U$94)+Panels!$T$94)/2</f>
        <v>741.60056395023139</v>
      </c>
      <c r="T111" s="129">
        <f t="shared" si="49"/>
        <v>-741.60056395023139</v>
      </c>
      <c r="U111" s="45">
        <f>IF(B111&gt;0,K111,"")</f>
        <v>20.825346531795883</v>
      </c>
    </row>
    <row r="112" spans="2:23" s="12" customFormat="1" ht="11.25" x14ac:dyDescent="0.2">
      <c r="B112" s="9"/>
      <c r="C112" s="149"/>
      <c r="D112" s="150"/>
      <c r="E112" s="150"/>
      <c r="F112" s="150"/>
      <c r="G112" s="150"/>
      <c r="H112" s="150"/>
      <c r="I112" s="150"/>
      <c r="J112" s="146">
        <f>J111</f>
        <v>18.450813949265903</v>
      </c>
      <c r="K112" s="146">
        <f>K111</f>
        <v>20.825346531795883</v>
      </c>
      <c r="L112" s="147"/>
      <c r="M112" s="134">
        <f>((H110-H107)^2+(I110-I107)^2)^0.5</f>
        <v>10.290497837093602</v>
      </c>
      <c r="N112" s="134">
        <f>N109+M112</f>
        <v>255.19194286458801</v>
      </c>
      <c r="O112" s="140">
        <f>((C110-C111)^2+(D110-D111)^2)^0.5*Panels!$T$91</f>
        <v>1910.0495375264554</v>
      </c>
      <c r="P112" s="129">
        <f t="shared" si="46"/>
        <v>955.02476876322771</v>
      </c>
      <c r="Q112" s="129">
        <f t="shared" si="47"/>
        <v>-955.02476876322771</v>
      </c>
      <c r="R112" s="45">
        <f t="shared" si="48"/>
        <v>271.05096670714374</v>
      </c>
      <c r="S112" s="129">
        <f>(($O$130-Panels!$T$94)*(N112-Panels!$U$94)/($N$130-Panels!$U$94)+Panels!$T$94)/2</f>
        <v>819.49928540965584</v>
      </c>
      <c r="T112" s="129">
        <f t="shared" si="49"/>
        <v>-819.49928540965584</v>
      </c>
      <c r="U112" s="45">
        <f>IF(B111&gt;0,K112,"")</f>
        <v>20.825346531795883</v>
      </c>
      <c r="W112" s="45">
        <f>W109+M112</f>
        <v>203.70797479694514</v>
      </c>
    </row>
    <row r="113" spans="2:23" s="12" customFormat="1" ht="11.25" x14ac:dyDescent="0.2">
      <c r="B113" s="9"/>
      <c r="C113" s="133">
        <f>C110</f>
        <v>35.10162789853181</v>
      </c>
      <c r="D113" s="134">
        <f>D110</f>
        <v>27.167128709061178</v>
      </c>
      <c r="E113" s="135"/>
      <c r="F113" s="134">
        <f>IF(Design!$H$19="x",C113,0)</f>
        <v>0</v>
      </c>
      <c r="G113" s="134">
        <f>IF(Design!$H$19="x",D113,0)</f>
        <v>0</v>
      </c>
      <c r="H113" s="134">
        <f>SUM(C113:C114)/2</f>
        <v>18.450813949265903</v>
      </c>
      <c r="I113" s="134">
        <f>SUM(D113:D114)/2</f>
        <v>27.748233735577543</v>
      </c>
      <c r="J113" s="131">
        <f>IF(Design!$H$18="x",H113,0)</f>
        <v>18.450813949265903</v>
      </c>
      <c r="K113" s="131">
        <f>IF(Design!$H$18="x",I113,0)</f>
        <v>27.748233735577543</v>
      </c>
      <c r="L113" s="141"/>
      <c r="M113" s="131">
        <f t="shared" ref="M113:O114" si="53">M112</f>
        <v>10.290497837093602</v>
      </c>
      <c r="N113" s="131">
        <f t="shared" si="53"/>
        <v>255.19194286458801</v>
      </c>
      <c r="O113" s="142">
        <f t="shared" si="53"/>
        <v>1910.0495375264554</v>
      </c>
      <c r="P113" s="129">
        <f t="shared" si="46"/>
        <v>955.02476876322771</v>
      </c>
      <c r="Q113" s="129">
        <f t="shared" si="47"/>
        <v>-955.02476876322771</v>
      </c>
      <c r="R113" s="45">
        <f t="shared" si="48"/>
        <v>271.05096670714374</v>
      </c>
      <c r="S113" s="129">
        <f>(($O$130-Panels!$T$94)*(N113-Panels!$U$94)/($N$130-Panels!$U$94)+Panels!$T$94)/2</f>
        <v>819.49928540965584</v>
      </c>
      <c r="T113" s="129">
        <f t="shared" si="49"/>
        <v>-819.49928540965584</v>
      </c>
      <c r="U113" s="45">
        <f>IF(B114&gt;0,K113,"")</f>
        <v>27.748233735577543</v>
      </c>
    </row>
    <row r="114" spans="2:23" s="12" customFormat="1" ht="11.25" x14ac:dyDescent="0.2">
      <c r="B114" s="39">
        <f>B111+1</f>
        <v>38</v>
      </c>
      <c r="C114" s="133">
        <f>C111</f>
        <v>1.8</v>
      </c>
      <c r="D114" s="134">
        <f>D113+(C113-C114)*Panels!S20</f>
        <v>28.329338762093904</v>
      </c>
      <c r="E114" s="135"/>
      <c r="F114" s="134">
        <f>IF(Design!$H$19="x",C114,0)</f>
        <v>0</v>
      </c>
      <c r="G114" s="134">
        <f>IF(Design!$H$19="x",D114,0)</f>
        <v>0</v>
      </c>
      <c r="H114" s="137"/>
      <c r="I114" s="138"/>
      <c r="J114" s="134">
        <f>J113</f>
        <v>18.450813949265903</v>
      </c>
      <c r="K114" s="134">
        <f>K113</f>
        <v>27.748233735577543</v>
      </c>
      <c r="L114" s="139"/>
      <c r="M114" s="134">
        <f t="shared" si="53"/>
        <v>10.290497837093602</v>
      </c>
      <c r="N114" s="134">
        <f t="shared" si="53"/>
        <v>255.19194286458801</v>
      </c>
      <c r="O114" s="140">
        <f t="shared" si="53"/>
        <v>1910.0495375264554</v>
      </c>
      <c r="P114" s="129">
        <f t="shared" si="46"/>
        <v>955.02476876322771</v>
      </c>
      <c r="Q114" s="129">
        <f t="shared" si="47"/>
        <v>-955.02476876322771</v>
      </c>
      <c r="R114" s="45">
        <f t="shared" si="48"/>
        <v>271.05096670714374</v>
      </c>
      <c r="S114" s="129">
        <f>(($O$130-Panels!$T$94)*(N114-Panels!$U$94)/($N$130-Panels!$U$94)+Panels!$T$94)/2</f>
        <v>819.49928540965584</v>
      </c>
      <c r="T114" s="129">
        <f t="shared" si="49"/>
        <v>-819.49928540965584</v>
      </c>
      <c r="U114" s="45">
        <f>IF(B114&gt;0,K114,"")</f>
        <v>27.748233735577543</v>
      </c>
    </row>
    <row r="115" spans="2:23" s="12" customFormat="1" ht="11.25" x14ac:dyDescent="0.2">
      <c r="B115" s="9"/>
      <c r="C115" s="149"/>
      <c r="D115" s="150"/>
      <c r="E115" s="150"/>
      <c r="F115" s="150"/>
      <c r="G115" s="150"/>
      <c r="H115" s="150"/>
      <c r="I115" s="150"/>
      <c r="J115" s="146">
        <f>J114</f>
        <v>18.450813949265903</v>
      </c>
      <c r="K115" s="146">
        <f>K114</f>
        <v>27.748233735577543</v>
      </c>
      <c r="L115" s="147"/>
      <c r="M115" s="134">
        <f>((H113-H110)^2+(I113-I110)^2)^0.5</f>
        <v>6.9228872037816593</v>
      </c>
      <c r="N115" s="134">
        <f>N112+M115</f>
        <v>262.11483006836966</v>
      </c>
      <c r="O115" s="140">
        <f>((C113-C114)^2+(D113-D114)^2)^0.5*Panels!$T$91</f>
        <v>1786.0539472016396</v>
      </c>
      <c r="P115" s="129">
        <f t="shared" si="46"/>
        <v>893.02697360081982</v>
      </c>
      <c r="Q115" s="129">
        <f t="shared" si="47"/>
        <v>-893.02697360081982</v>
      </c>
      <c r="R115" s="45">
        <f t="shared" si="48"/>
        <v>42.243331227725093</v>
      </c>
      <c r="S115" s="129">
        <f>(($O$130-Panels!$T$94)*(N115-Panels!$U$94)/($N$130-Panels!$U$94)+Panels!$T$94)/2</f>
        <v>871.90530798695727</v>
      </c>
      <c r="T115" s="129">
        <f t="shared" si="49"/>
        <v>-871.90530798695727</v>
      </c>
      <c r="U115" s="45">
        <f>IF(B114&gt;0,K115,"")</f>
        <v>27.748233735577543</v>
      </c>
      <c r="W115" s="45">
        <f>W112+M115</f>
        <v>210.63086200072681</v>
      </c>
    </row>
    <row r="116" spans="2:23" s="12" customFormat="1" ht="11.25" x14ac:dyDescent="0.2">
      <c r="B116" s="9"/>
      <c r="C116" s="130">
        <f>Panels!C48</f>
        <v>35.227189551271238</v>
      </c>
      <c r="D116" s="131">
        <f>Panels!D48</f>
        <v>28.962743999528861</v>
      </c>
      <c r="E116" s="132"/>
      <c r="F116" s="131">
        <f>IF(Design!$H$19="x",C116,0)</f>
        <v>0</v>
      </c>
      <c r="G116" s="131">
        <f>IF(Design!$H$19="x",D116,0)</f>
        <v>0</v>
      </c>
      <c r="H116" s="131">
        <f>SUM(C116:C117)/2</f>
        <v>18.513594775635617</v>
      </c>
      <c r="I116" s="131">
        <f>SUM(D116:D117)/2</f>
        <v>29.546040045288095</v>
      </c>
      <c r="J116" s="131">
        <f>IF(Design!$H$18="x",H116,0)</f>
        <v>18.513594775635617</v>
      </c>
      <c r="K116" s="131">
        <f>IF(Design!$H$18="x",I116,0)</f>
        <v>29.546040045288095</v>
      </c>
      <c r="L116" s="141"/>
      <c r="M116" s="131">
        <f t="shared" ref="M116:O117" si="54">M115</f>
        <v>6.9228872037816593</v>
      </c>
      <c r="N116" s="131">
        <f t="shared" si="54"/>
        <v>262.11483006836966</v>
      </c>
      <c r="O116" s="142">
        <f t="shared" si="54"/>
        <v>1786.0539472016396</v>
      </c>
      <c r="P116" s="129">
        <f t="shared" si="46"/>
        <v>893.02697360081982</v>
      </c>
      <c r="Q116" s="129">
        <f t="shared" si="47"/>
        <v>-893.02697360081982</v>
      </c>
      <c r="R116" s="45">
        <f t="shared" si="48"/>
        <v>42.243331227725093</v>
      </c>
      <c r="S116" s="129">
        <f>(($O$130-Panels!$T$94)*(N116-Panels!$U$94)/($N$130-Panels!$U$94)+Panels!$T$94)/2</f>
        <v>871.90530798695727</v>
      </c>
      <c r="T116" s="129">
        <f t="shared" si="49"/>
        <v>-871.90530798695727</v>
      </c>
      <c r="U116" s="45">
        <f>IF(B117&gt;0,K116,"")</f>
        <v>29.546040045288095</v>
      </c>
    </row>
    <row r="117" spans="2:23" s="12" customFormat="1" ht="11.25" x14ac:dyDescent="0.2">
      <c r="B117" s="39">
        <f>B114+1</f>
        <v>39</v>
      </c>
      <c r="C117" s="133">
        <f>C114</f>
        <v>1.8</v>
      </c>
      <c r="D117" s="134">
        <f>D116+(C116-C117)*Panels!S20</f>
        <v>30.129336091047328</v>
      </c>
      <c r="E117" s="135"/>
      <c r="F117" s="134">
        <f>IF(Design!$H$19="x",C117,0)</f>
        <v>0</v>
      </c>
      <c r="G117" s="134">
        <f>IF(Design!$H$19="x",D117,0)</f>
        <v>0</v>
      </c>
      <c r="H117" s="137"/>
      <c r="I117" s="138"/>
      <c r="J117" s="134">
        <f>J116</f>
        <v>18.513594775635617</v>
      </c>
      <c r="K117" s="134">
        <f>K116</f>
        <v>29.546040045288095</v>
      </c>
      <c r="L117" s="139"/>
      <c r="M117" s="134">
        <f t="shared" si="54"/>
        <v>6.9228872037816593</v>
      </c>
      <c r="N117" s="134">
        <f t="shared" si="54"/>
        <v>262.11483006836966</v>
      </c>
      <c r="O117" s="140">
        <f t="shared" si="54"/>
        <v>1786.0539472016396</v>
      </c>
      <c r="P117" s="129">
        <f t="shared" si="46"/>
        <v>893.02697360081982</v>
      </c>
      <c r="Q117" s="129">
        <f t="shared" si="47"/>
        <v>-893.02697360081982</v>
      </c>
      <c r="R117" s="45">
        <f t="shared" si="48"/>
        <v>42.243331227725093</v>
      </c>
      <c r="S117" s="129">
        <f>(($O$130-Panels!$T$94)*(N117-Panels!$U$94)/($N$130-Panels!$U$94)+Panels!$T$94)/2</f>
        <v>871.90530798695727</v>
      </c>
      <c r="T117" s="129">
        <f t="shared" si="49"/>
        <v>-871.90530798695727</v>
      </c>
      <c r="U117" s="45">
        <f>IF(B117&gt;0,K117,"")</f>
        <v>29.546040045288095</v>
      </c>
    </row>
    <row r="118" spans="2:23" s="12" customFormat="1" ht="11.25" x14ac:dyDescent="0.2">
      <c r="B118" s="9"/>
      <c r="C118" s="149"/>
      <c r="D118" s="150"/>
      <c r="E118" s="150"/>
      <c r="F118" s="150"/>
      <c r="G118" s="150"/>
      <c r="H118" s="150"/>
      <c r="I118" s="150"/>
      <c r="J118" s="146">
        <f>J117</f>
        <v>18.513594775635617</v>
      </c>
      <c r="K118" s="146">
        <f>K117</f>
        <v>29.546040045288095</v>
      </c>
      <c r="L118" s="147"/>
      <c r="M118" s="134">
        <f>((H116-H113)^2+(I116-I113)^2)^0.5</f>
        <v>1.7989021539246477</v>
      </c>
      <c r="N118" s="134">
        <f>N115+M118</f>
        <v>263.9137322222943</v>
      </c>
      <c r="O118" s="140">
        <f>((C116-C117)^2+(D116-D117)^2)^0.5*Panels!$T$91</f>
        <v>1792.7881490903799</v>
      </c>
      <c r="P118" s="129">
        <f t="shared" si="46"/>
        <v>896.39407454518994</v>
      </c>
      <c r="Q118" s="129">
        <f t="shared" si="47"/>
        <v>-896.39407454518994</v>
      </c>
      <c r="R118" s="45">
        <f t="shared" si="48"/>
        <v>21.742275884068249</v>
      </c>
      <c r="S118" s="129">
        <f>(($O$130-Panels!$T$94)*(N118-Panels!$U$94)/($N$130-Panels!$U$94)+Panels!$T$94)/2</f>
        <v>885.52293660315581</v>
      </c>
      <c r="T118" s="129">
        <f t="shared" si="49"/>
        <v>-885.52293660315581</v>
      </c>
      <c r="U118" s="45">
        <f>IF(B117&gt;0,K118,"")</f>
        <v>29.546040045288095</v>
      </c>
      <c r="W118" s="45">
        <f>W115+M118</f>
        <v>212.42976415465145</v>
      </c>
    </row>
    <row r="119" spans="2:23" s="12" customFormat="1" ht="11.25" x14ac:dyDescent="0.2">
      <c r="B119" s="9"/>
      <c r="C119" s="151">
        <f>Panels!C19</f>
        <v>35.346013425758528</v>
      </c>
      <c r="D119" s="152">
        <f>Panels!D19</f>
        <v>29.66156367392535</v>
      </c>
      <c r="E119" s="153"/>
      <c r="F119" s="134">
        <f>IF(Design!$H$19="x",C119,0)</f>
        <v>0</v>
      </c>
      <c r="G119" s="134">
        <f>IF(Design!$H$19="x",D119,0)</f>
        <v>0</v>
      </c>
      <c r="H119" s="152">
        <f>SUM(C119:C120)/2</f>
        <v>18.573006712879263</v>
      </c>
      <c r="I119" s="152">
        <f>SUM(D119:D120)/2</f>
        <v>31.894408778658686</v>
      </c>
      <c r="J119" s="131">
        <f>IF(Design!$H$18="x",H119,0)</f>
        <v>18.573006712879263</v>
      </c>
      <c r="K119" s="131">
        <f>IF(Design!$H$18="x",I119,0)</f>
        <v>31.894408778658686</v>
      </c>
      <c r="L119" s="141"/>
      <c r="M119" s="131">
        <f t="shared" ref="M119:O120" si="55">M118</f>
        <v>1.7989021539246477</v>
      </c>
      <c r="N119" s="131">
        <f t="shared" si="55"/>
        <v>263.9137322222943</v>
      </c>
      <c r="O119" s="142">
        <f t="shared" si="55"/>
        <v>1792.7881490903799</v>
      </c>
      <c r="P119" s="129">
        <f t="shared" si="46"/>
        <v>896.39407454518994</v>
      </c>
      <c r="Q119" s="129">
        <f t="shared" si="47"/>
        <v>-896.39407454518994</v>
      </c>
      <c r="R119" s="45">
        <f t="shared" si="48"/>
        <v>21.742275884068249</v>
      </c>
      <c r="S119" s="129">
        <f>(($O$130-Panels!$T$94)*(N119-Panels!$U$94)/($N$130-Panels!$U$94)+Panels!$T$94)/2</f>
        <v>885.52293660315581</v>
      </c>
      <c r="T119" s="129">
        <f t="shared" si="49"/>
        <v>-885.52293660315581</v>
      </c>
      <c r="U119" s="45">
        <f>IF(B120&gt;0,K119,"")</f>
        <v>31.894408778658686</v>
      </c>
    </row>
    <row r="120" spans="2:23" s="12" customFormat="1" ht="11.25" x14ac:dyDescent="0.2">
      <c r="B120" s="39">
        <f>B117+1</f>
        <v>40</v>
      </c>
      <c r="C120" s="151">
        <f>(C117+C129)/2</f>
        <v>1.8</v>
      </c>
      <c r="D120" s="152">
        <f>D119+(C119-C120)*Panels!S30</f>
        <v>34.127253883392022</v>
      </c>
      <c r="E120" s="153"/>
      <c r="F120" s="134">
        <f>IF(Design!$H$19="x",C120,0)</f>
        <v>0</v>
      </c>
      <c r="G120" s="134">
        <f>IF(Design!$H$19="x",D120,0)</f>
        <v>0</v>
      </c>
      <c r="H120" s="154"/>
      <c r="I120" s="155"/>
      <c r="J120" s="134">
        <f>J119</f>
        <v>18.573006712879263</v>
      </c>
      <c r="K120" s="134">
        <f>K119</f>
        <v>31.894408778658686</v>
      </c>
      <c r="L120" s="139"/>
      <c r="M120" s="134">
        <f t="shared" si="55"/>
        <v>1.7989021539246477</v>
      </c>
      <c r="N120" s="134">
        <f t="shared" si="55"/>
        <v>263.9137322222943</v>
      </c>
      <c r="O120" s="140">
        <f t="shared" si="55"/>
        <v>1792.7881490903799</v>
      </c>
      <c r="P120" s="129">
        <f t="shared" si="46"/>
        <v>896.39407454518994</v>
      </c>
      <c r="Q120" s="129">
        <f t="shared" si="47"/>
        <v>-896.39407454518994</v>
      </c>
      <c r="R120" s="45">
        <f t="shared" si="48"/>
        <v>21.742275884068249</v>
      </c>
      <c r="S120" s="129">
        <f>(($O$130-Panels!$T$94)*(N120-Panels!$U$94)/($N$130-Panels!$U$94)+Panels!$T$94)/2</f>
        <v>885.52293660315581</v>
      </c>
      <c r="T120" s="129">
        <f t="shared" si="49"/>
        <v>-885.52293660315581</v>
      </c>
      <c r="U120" s="45">
        <f>IF(B120&gt;0,K120,"")</f>
        <v>31.894408778658686</v>
      </c>
    </row>
    <row r="121" spans="2:23" s="12" customFormat="1" ht="11.25" x14ac:dyDescent="0.2">
      <c r="B121" s="9"/>
      <c r="C121" s="156"/>
      <c r="D121" s="157"/>
      <c r="E121" s="157"/>
      <c r="F121" s="157"/>
      <c r="G121" s="157"/>
      <c r="H121" s="157"/>
      <c r="I121" s="157"/>
      <c r="J121" s="146">
        <f>J120</f>
        <v>18.573006712879263</v>
      </c>
      <c r="K121" s="146">
        <f>K120</f>
        <v>31.894408778658686</v>
      </c>
      <c r="L121" s="147"/>
      <c r="M121" s="134">
        <f>((H119-H116)^2+(I119-I116)^2)^0.5</f>
        <v>2.3491201514949465</v>
      </c>
      <c r="N121" s="134">
        <f>N118+M121</f>
        <v>266.26285237378926</v>
      </c>
      <c r="O121" s="140">
        <f>((C119-C120)^2+(D119-D120)^2)^0.5*Panels!$T$91</f>
        <v>1813.9283822109501</v>
      </c>
      <c r="P121" s="129">
        <f t="shared" si="46"/>
        <v>906.96419110547504</v>
      </c>
      <c r="Q121" s="129">
        <f t="shared" si="47"/>
        <v>-906.96419110547504</v>
      </c>
      <c r="R121" s="45">
        <f t="shared" si="48"/>
        <v>7.316988414098887</v>
      </c>
      <c r="S121" s="129">
        <f>(($O$130-Panels!$T$94)*(N121-Panels!$U$94)/($N$130-Panels!$U$94)+Panels!$T$94)/2</f>
        <v>903.30569689842559</v>
      </c>
      <c r="T121" s="129">
        <f t="shared" si="49"/>
        <v>-903.30569689842559</v>
      </c>
      <c r="U121" s="45">
        <f>IF(B120&gt;0,K121,"")</f>
        <v>31.894408778658686</v>
      </c>
      <c r="W121" s="45">
        <f>W118+M121</f>
        <v>214.77888430614641</v>
      </c>
    </row>
    <row r="122" spans="2:23" s="12" customFormat="1" ht="11.25" x14ac:dyDescent="0.2">
      <c r="B122" s="9"/>
      <c r="C122" s="159">
        <f>Path!AG6</f>
        <v>42.625084127963255</v>
      </c>
      <c r="D122" s="159">
        <f>Path!AH6</f>
        <v>56.269364835172127</v>
      </c>
      <c r="E122" s="160"/>
      <c r="F122" s="131">
        <f>IF(Design!$H$19="x",C122,0)</f>
        <v>0</v>
      </c>
      <c r="G122" s="131">
        <f>IF(Design!$H$19="x",D122,0)</f>
        <v>0</v>
      </c>
      <c r="H122" s="161">
        <f>SUM(C122:C123)/2</f>
        <v>22.212542063981626</v>
      </c>
      <c r="I122" s="161">
        <f>SUM(D122:D123)/2</f>
        <v>58.986709757458911</v>
      </c>
      <c r="J122" s="131">
        <f>IF(Design!$H$18="x",H122,0)</f>
        <v>22.212542063981626</v>
      </c>
      <c r="K122" s="131">
        <f>IF(Design!$H$18="x",I122,0)</f>
        <v>58.986709757458911</v>
      </c>
      <c r="L122" s="141"/>
      <c r="M122" s="131">
        <f t="shared" ref="M122:O123" si="56">M121</f>
        <v>2.3491201514949465</v>
      </c>
      <c r="N122" s="131">
        <f t="shared" si="56"/>
        <v>266.26285237378926</v>
      </c>
      <c r="O122" s="142">
        <f t="shared" si="56"/>
        <v>1813.9283822109501</v>
      </c>
      <c r="P122" s="129">
        <f t="shared" si="46"/>
        <v>906.96419110547504</v>
      </c>
      <c r="Q122" s="129">
        <f t="shared" si="47"/>
        <v>-906.96419110547504</v>
      </c>
      <c r="R122" s="45">
        <f t="shared" si="48"/>
        <v>7.316988414098887</v>
      </c>
      <c r="S122" s="129">
        <f>(($O$130-Panels!$T$94)*(N122-Panels!$U$94)/($N$130-Panels!$U$94)+Panels!$T$94)/2</f>
        <v>903.30569689842559</v>
      </c>
      <c r="T122" s="129">
        <f t="shared" si="49"/>
        <v>-903.30569689842559</v>
      </c>
      <c r="U122" s="45">
        <f>IF(B123&gt;0,K122,"")</f>
        <v>58.986709757458911</v>
      </c>
    </row>
    <row r="123" spans="2:23" s="12" customFormat="1" ht="11.25" x14ac:dyDescent="0.2">
      <c r="B123" s="39">
        <f>B120+1</f>
        <v>41</v>
      </c>
      <c r="C123" s="151">
        <f>(C114+C120)/2</f>
        <v>1.8</v>
      </c>
      <c r="D123" s="152">
        <f>D122+(C122-C123)*Panels!S30</f>
        <v>61.704054679745703</v>
      </c>
      <c r="E123" s="153"/>
      <c r="F123" s="134">
        <f>IF(Design!$H$19="x",C123,0)</f>
        <v>0</v>
      </c>
      <c r="G123" s="134">
        <f>IF(Design!$H$19="x",D123,0)</f>
        <v>0</v>
      </c>
      <c r="H123" s="154"/>
      <c r="I123" s="155"/>
      <c r="J123" s="134">
        <f>J122</f>
        <v>22.212542063981626</v>
      </c>
      <c r="K123" s="134">
        <f>K122</f>
        <v>58.986709757458911</v>
      </c>
      <c r="L123" s="139"/>
      <c r="M123" s="134">
        <f t="shared" si="56"/>
        <v>2.3491201514949465</v>
      </c>
      <c r="N123" s="134">
        <f t="shared" si="56"/>
        <v>266.26285237378926</v>
      </c>
      <c r="O123" s="140">
        <f t="shared" si="56"/>
        <v>1813.9283822109501</v>
      </c>
      <c r="P123" s="129">
        <f t="shared" si="46"/>
        <v>906.96419110547504</v>
      </c>
      <c r="Q123" s="129">
        <f t="shared" si="47"/>
        <v>-906.96419110547504</v>
      </c>
      <c r="R123" s="45">
        <f t="shared" si="48"/>
        <v>7.316988414098887</v>
      </c>
      <c r="S123" s="129">
        <f>(($O$130-Panels!$T$94)*(N123-Panels!$U$94)/($N$130-Panels!$U$94)+Panels!$T$94)/2</f>
        <v>903.30569689842559</v>
      </c>
      <c r="T123" s="129">
        <f t="shared" si="49"/>
        <v>-903.30569689842559</v>
      </c>
      <c r="U123" s="45">
        <f>IF(B123&gt;0,K123,"")</f>
        <v>58.986709757458911</v>
      </c>
    </row>
    <row r="124" spans="2:23" s="12" customFormat="1" ht="11.25" x14ac:dyDescent="0.2">
      <c r="B124" s="9"/>
      <c r="C124" s="156"/>
      <c r="D124" s="157"/>
      <c r="E124" s="157"/>
      <c r="F124" s="157"/>
      <c r="G124" s="157"/>
      <c r="H124" s="157"/>
      <c r="I124" s="157"/>
      <c r="J124" s="146">
        <f>J123</f>
        <v>22.212542063981626</v>
      </c>
      <c r="K124" s="146">
        <f>K123</f>
        <v>58.986709757458911</v>
      </c>
      <c r="L124" s="147"/>
      <c r="M124" s="134">
        <f>((H122-H119)^2+(I122-I119)^2)^0.5</f>
        <v>27.335672479341412</v>
      </c>
      <c r="N124" s="134">
        <f>N121+M124</f>
        <v>293.5985248531307</v>
      </c>
      <c r="O124" s="140">
        <f>((C122-C123)^2+(D122-D123)^2)^0.5*Panels!$T$91</f>
        <v>2207.5284435735553</v>
      </c>
      <c r="P124" s="129">
        <f t="shared" si="46"/>
        <v>1103.7642217867776</v>
      </c>
      <c r="Q124" s="129">
        <f t="shared" si="47"/>
        <v>-1103.7642217867776</v>
      </c>
      <c r="R124" s="45">
        <f t="shared" si="48"/>
        <v>-12.94318713010307</v>
      </c>
      <c r="S124" s="129">
        <f>(($O$130-Panels!$T$94)*(N124-Panels!$U$94)/($N$130-Panels!$U$94)+Panels!$T$94)/2</f>
        <v>1110.2358153518292</v>
      </c>
      <c r="T124" s="129">
        <f t="shared" si="49"/>
        <v>-1110.2358153518292</v>
      </c>
      <c r="U124" s="45">
        <f>IF(B123&gt;0,K124,"")</f>
        <v>58.986709757458911</v>
      </c>
      <c r="W124" s="45">
        <f>W121+M124</f>
        <v>242.11455678548782</v>
      </c>
    </row>
    <row r="125" spans="2:23" s="12" customFormat="1" ht="11.25" x14ac:dyDescent="0.2">
      <c r="B125" s="9"/>
      <c r="C125" s="151">
        <f>Panels!C18-Design!D47*Panels!S26^2/Panels!S25</f>
        <v>49.467219656884161</v>
      </c>
      <c r="D125" s="152">
        <f>Panels!D15</f>
        <v>81.28</v>
      </c>
      <c r="E125" s="153"/>
      <c r="F125" s="131">
        <f>IF(Design!$H$19="x",C125,0)</f>
        <v>0</v>
      </c>
      <c r="G125" s="131">
        <f>IF(Design!$H$19="x",D125,0)</f>
        <v>0</v>
      </c>
      <c r="H125" s="161">
        <f>SUM(C125:C126)/2</f>
        <v>25.633609828442079</v>
      </c>
      <c r="I125" s="161">
        <f>SUM(D125:D126)/2</f>
        <v>81.28</v>
      </c>
      <c r="J125" s="161">
        <f>IF(Design!$H$18="x",H125,0)</f>
        <v>25.633609828442079</v>
      </c>
      <c r="K125" s="134">
        <f>IF(Design!$H$18="x",I125,0)</f>
        <v>81.28</v>
      </c>
      <c r="L125" s="160"/>
      <c r="M125" s="131">
        <f t="shared" ref="M125:O126" si="57">M124</f>
        <v>27.335672479341412</v>
      </c>
      <c r="N125" s="131">
        <f t="shared" si="57"/>
        <v>293.5985248531307</v>
      </c>
      <c r="O125" s="142">
        <f t="shared" si="57"/>
        <v>2207.5284435735553</v>
      </c>
      <c r="P125" s="129">
        <f t="shared" si="46"/>
        <v>1103.7642217867776</v>
      </c>
      <c r="Q125" s="129">
        <f t="shared" si="47"/>
        <v>-1103.7642217867776</v>
      </c>
      <c r="R125" s="45">
        <f t="shared" si="48"/>
        <v>-12.94318713010307</v>
      </c>
      <c r="S125" s="129">
        <f>(($O$130-Panels!$T$94)*(N125-Panels!$U$94)/($N$130-Panels!$U$94)+Panels!$T$94)/2</f>
        <v>1110.2358153518292</v>
      </c>
      <c r="T125" s="129">
        <f t="shared" si="49"/>
        <v>-1110.2358153518292</v>
      </c>
      <c r="U125" s="45">
        <f>IF(B126&gt;0,K125,"")</f>
        <v>81.28</v>
      </c>
    </row>
    <row r="126" spans="2:23" s="12" customFormat="1" ht="11.25" x14ac:dyDescent="0.2">
      <c r="B126" s="39">
        <f>B123+1</f>
        <v>42</v>
      </c>
      <c r="C126" s="151">
        <f>C117</f>
        <v>1.8</v>
      </c>
      <c r="D126" s="152">
        <f>D125</f>
        <v>81.28</v>
      </c>
      <c r="E126" s="153"/>
      <c r="F126" s="134">
        <f>IF(Design!$H$19="x",C126,0)</f>
        <v>0</v>
      </c>
      <c r="G126" s="134">
        <f>IF(Design!$H$19="x",D126,0)</f>
        <v>0</v>
      </c>
      <c r="H126" s="154"/>
      <c r="I126" s="155"/>
      <c r="J126" s="152">
        <f>J125</f>
        <v>25.633609828442079</v>
      </c>
      <c r="K126" s="152">
        <f>K125</f>
        <v>81.28</v>
      </c>
      <c r="L126" s="153"/>
      <c r="M126" s="134">
        <f t="shared" si="57"/>
        <v>27.335672479341412</v>
      </c>
      <c r="N126" s="134">
        <f t="shared" si="57"/>
        <v>293.5985248531307</v>
      </c>
      <c r="O126" s="140">
        <f t="shared" si="57"/>
        <v>2207.5284435735553</v>
      </c>
      <c r="P126" s="129">
        <f t="shared" si="46"/>
        <v>1103.7642217867776</v>
      </c>
      <c r="Q126" s="129">
        <f t="shared" si="47"/>
        <v>-1103.7642217867776</v>
      </c>
      <c r="R126" s="45">
        <f t="shared" si="48"/>
        <v>-12.94318713010307</v>
      </c>
      <c r="S126" s="129">
        <f>(($O$130-Panels!$T$94)*(N126-Panels!$U$94)/($N$130-Panels!$U$94)+Panels!$T$94)/2</f>
        <v>1110.2358153518292</v>
      </c>
      <c r="T126" s="129">
        <f t="shared" si="49"/>
        <v>-1110.2358153518292</v>
      </c>
      <c r="U126" s="45">
        <f>IF(B126&gt;0,K126,"")</f>
        <v>81.28</v>
      </c>
    </row>
    <row r="127" spans="2:23" s="12" customFormat="1" ht="11.25" x14ac:dyDescent="0.2">
      <c r="B127" s="9"/>
      <c r="C127" s="151"/>
      <c r="D127" s="152"/>
      <c r="E127" s="153"/>
      <c r="F127" s="153"/>
      <c r="G127" s="153"/>
      <c r="H127" s="153"/>
      <c r="I127" s="153"/>
      <c r="J127" s="152">
        <f>J126</f>
        <v>25.633609828442079</v>
      </c>
      <c r="K127" s="152">
        <f>K126</f>
        <v>81.28</v>
      </c>
      <c r="L127" s="153"/>
      <c r="M127" s="134">
        <f>((H125-H122)^2+(I125-I122)^2)^0.5</f>
        <v>22.554256682214294</v>
      </c>
      <c r="N127" s="134">
        <f>N124+M127</f>
        <v>316.15278153534501</v>
      </c>
      <c r="O127" s="140">
        <f>((C125-C126)^2+(D125-D126)^2)^0.5*Panels!$T$91</f>
        <v>2554.9629736089914</v>
      </c>
      <c r="P127" s="129">
        <f t="shared" si="46"/>
        <v>1277.4814868044957</v>
      </c>
      <c r="Q127" s="129">
        <f t="shared" si="47"/>
        <v>-1277.4814868044957</v>
      </c>
      <c r="R127" s="45">
        <f t="shared" si="48"/>
        <v>-6.9785814512906654</v>
      </c>
      <c r="S127" s="129">
        <f>(($O$130-Panels!$T$94)*(N127-Panels!$U$94)/($N$130-Panels!$U$94)+Panels!$T$94)/2</f>
        <v>1280.970777530141</v>
      </c>
      <c r="T127" s="129">
        <f t="shared" si="49"/>
        <v>-1280.970777530141</v>
      </c>
      <c r="U127" s="45">
        <f>IF(B126&gt;0,K127,"")</f>
        <v>81.28</v>
      </c>
      <c r="W127" s="45">
        <f>W124+M127</f>
        <v>264.66881346770214</v>
      </c>
    </row>
    <row r="128" spans="2:23" s="12" customFormat="1" ht="11.25" x14ac:dyDescent="0.2">
      <c r="B128" s="9"/>
      <c r="C128" s="159">
        <f>Panels!C18</f>
        <v>49.727094648871351</v>
      </c>
      <c r="D128" s="161">
        <f>Panels!D18</f>
        <v>82.229942979875347</v>
      </c>
      <c r="E128" s="160"/>
      <c r="F128" s="131">
        <f>IF(Design!$H$19="x",C128,0)</f>
        <v>0</v>
      </c>
      <c r="G128" s="131">
        <f>IF(Design!$H$19="x",D128,0)</f>
        <v>0</v>
      </c>
      <c r="H128" s="161">
        <f>SUM(C128:C129)/2</f>
        <v>25.763547324435674</v>
      </c>
      <c r="I128" s="161">
        <f>SUM(D128:D129)/2</f>
        <v>81.754971489937674</v>
      </c>
      <c r="J128" s="161">
        <f>IF(Design!$H$18="x",H128,0)</f>
        <v>25.763547324435674</v>
      </c>
      <c r="K128" s="131">
        <f>IF(Design!$H$18="x",I128,0)</f>
        <v>81.754971489937674</v>
      </c>
      <c r="L128" s="160"/>
      <c r="M128" s="131">
        <f t="shared" ref="M128:O129" si="58">M127</f>
        <v>22.554256682214294</v>
      </c>
      <c r="N128" s="131">
        <f t="shared" si="58"/>
        <v>316.15278153534501</v>
      </c>
      <c r="O128" s="142">
        <f t="shared" si="58"/>
        <v>2554.9629736089914</v>
      </c>
      <c r="P128" s="129">
        <f t="shared" si="46"/>
        <v>1277.4814868044957</v>
      </c>
      <c r="Q128" s="129">
        <f t="shared" si="47"/>
        <v>-1277.4814868044957</v>
      </c>
      <c r="R128" s="45">
        <f t="shared" si="48"/>
        <v>-6.9785814512906654</v>
      </c>
      <c r="S128" s="129">
        <f>(($O$130-Panels!$T$94)*(N128-Panels!$U$94)/($N$130-Panels!$U$94)+Panels!$T$94)/2</f>
        <v>1280.970777530141</v>
      </c>
      <c r="T128" s="129">
        <f t="shared" si="49"/>
        <v>-1280.970777530141</v>
      </c>
      <c r="U128" s="45">
        <f>IF(B129&gt;0,K128,"")</f>
        <v>81.754971489937674</v>
      </c>
    </row>
    <row r="129" spans="2:35" s="12" customFormat="1" ht="11.25" x14ac:dyDescent="0.2">
      <c r="B129" s="39">
        <f>B126+1</f>
        <v>43</v>
      </c>
      <c r="C129" s="151">
        <f>C117</f>
        <v>1.8</v>
      </c>
      <c r="D129" s="152">
        <f>Panels!D15</f>
        <v>81.28</v>
      </c>
      <c r="E129" s="153"/>
      <c r="F129" s="134">
        <f>IF(Design!$H$19="x",C129,0)</f>
        <v>0</v>
      </c>
      <c r="G129" s="134">
        <f>IF(Design!$H$19="x",D129,0)</f>
        <v>0</v>
      </c>
      <c r="H129" s="154"/>
      <c r="I129" s="155"/>
      <c r="J129" s="152">
        <f>J128</f>
        <v>25.763547324435674</v>
      </c>
      <c r="K129" s="152">
        <f>K128</f>
        <v>81.754971489937674</v>
      </c>
      <c r="L129" s="153"/>
      <c r="M129" s="134">
        <f t="shared" si="58"/>
        <v>22.554256682214294</v>
      </c>
      <c r="N129" s="134">
        <f t="shared" si="58"/>
        <v>316.15278153534501</v>
      </c>
      <c r="O129" s="140">
        <f t="shared" si="58"/>
        <v>2554.9629736089914</v>
      </c>
      <c r="P129" s="129">
        <f t="shared" si="46"/>
        <v>1277.4814868044957</v>
      </c>
      <c r="Q129" s="129">
        <f t="shared" si="47"/>
        <v>-1277.4814868044957</v>
      </c>
      <c r="R129" s="45">
        <f t="shared" si="48"/>
        <v>-6.9785814512906654</v>
      </c>
      <c r="S129" s="129">
        <f>(($O$130-Panels!$T$94)*(N129-Panels!$U$94)/($N$130-Panels!$U$94)+Panels!$T$94)/2</f>
        <v>1280.970777530141</v>
      </c>
      <c r="T129" s="129">
        <f t="shared" si="49"/>
        <v>-1280.970777530141</v>
      </c>
      <c r="U129" s="45">
        <f>IF(B129&gt;0,K129,"")</f>
        <v>81.754971489937674</v>
      </c>
    </row>
    <row r="130" spans="2:35" s="12" customFormat="1" ht="11.25" x14ac:dyDescent="0.2">
      <c r="B130" s="9"/>
      <c r="C130" s="156"/>
      <c r="D130" s="157"/>
      <c r="E130" s="157"/>
      <c r="F130" s="157"/>
      <c r="G130" s="157"/>
      <c r="H130" s="157"/>
      <c r="I130" s="157"/>
      <c r="J130" s="158">
        <f>J129</f>
        <v>25.763547324435674</v>
      </c>
      <c r="K130" s="158">
        <f>K129</f>
        <v>81.754971489937674</v>
      </c>
      <c r="L130" s="157"/>
      <c r="M130" s="134">
        <f>((H128-H125)^2+(I128-I125)^2)^0.5</f>
        <v>0.49242427754802881</v>
      </c>
      <c r="N130" s="134">
        <f>N127+M130</f>
        <v>316.64520581289304</v>
      </c>
      <c r="O130" s="140">
        <f>((C128-C129)^2+(D128-D129)^2)^0.5*Panels!$T$91</f>
        <v>2569.3968253968251</v>
      </c>
      <c r="P130" s="129">
        <f t="shared" si="46"/>
        <v>1284.6984126984125</v>
      </c>
      <c r="Q130" s="129">
        <f t="shared" si="47"/>
        <v>-1284.6984126984125</v>
      </c>
      <c r="R130" s="45">
        <f t="shared" si="48"/>
        <v>0</v>
      </c>
      <c r="S130" s="129">
        <f>(($O$130-Panels!$T$94)*(N130-Panels!$U$94)/($N$130-Panels!$U$94)+Panels!$T$94)/2</f>
        <v>1284.6984126984125</v>
      </c>
      <c r="T130" s="129">
        <f t="shared" si="49"/>
        <v>-1284.6984126984125</v>
      </c>
      <c r="U130" s="45">
        <f>IF(B129&gt;0,K130,"")</f>
        <v>81.754971489937674</v>
      </c>
      <c r="W130" s="45">
        <f>W127+M130</f>
        <v>265.16123774525016</v>
      </c>
    </row>
    <row r="131" spans="2:35" s="12" customFormat="1" ht="11.25" x14ac:dyDescent="0.2">
      <c r="B131" s="9"/>
      <c r="C131" s="162"/>
      <c r="D131" s="163"/>
      <c r="E131" s="164"/>
      <c r="F131" s="163"/>
      <c r="G131" s="163"/>
      <c r="H131" s="163"/>
      <c r="I131" s="163"/>
      <c r="J131" s="163"/>
      <c r="K131" s="163"/>
      <c r="L131" s="164"/>
      <c r="M131" s="163"/>
      <c r="N131" s="163"/>
      <c r="O131" s="165"/>
      <c r="P131" s="129"/>
      <c r="Q131" s="129"/>
      <c r="S131" s="129"/>
      <c r="T131" s="129"/>
    </row>
    <row r="132" spans="2:35" s="12" customFormat="1" ht="11.25" x14ac:dyDescent="0.2">
      <c r="B132" s="9"/>
      <c r="C132" s="166"/>
      <c r="D132" s="167"/>
      <c r="E132" s="168"/>
      <c r="F132" s="167"/>
      <c r="G132" s="167"/>
      <c r="H132" s="169"/>
      <c r="I132" s="170"/>
      <c r="J132" s="167"/>
      <c r="K132" s="167"/>
      <c r="L132" s="168"/>
      <c r="M132" s="167"/>
      <c r="N132" s="167"/>
      <c r="O132" s="171"/>
      <c r="P132" s="129"/>
      <c r="Q132" s="129"/>
      <c r="S132" s="129"/>
      <c r="T132" s="129"/>
    </row>
    <row r="133" spans="2:35" s="12" customFormat="1" ht="11.25" x14ac:dyDescent="0.2">
      <c r="B133" s="9"/>
      <c r="C133" s="172"/>
      <c r="D133" s="173"/>
      <c r="E133" s="173"/>
      <c r="F133" s="173"/>
      <c r="G133" s="173"/>
      <c r="H133" s="173"/>
      <c r="I133" s="173"/>
      <c r="J133" s="174"/>
      <c r="K133" s="174"/>
      <c r="L133" s="173"/>
      <c r="M133" s="174"/>
      <c r="N133" s="174"/>
      <c r="O133" s="175"/>
      <c r="P133" s="129"/>
      <c r="Q133" s="129"/>
      <c r="S133" s="129"/>
      <c r="T133" s="129"/>
    </row>
    <row r="134" spans="2:35" s="12" customFormat="1" ht="11.25" x14ac:dyDescent="0.2"/>
    <row r="135" spans="2:35" s="12" customFormat="1" ht="11.25" x14ac:dyDescent="0.2">
      <c r="S135" s="129">
        <f>(($O$112-$O$4)*Design!D16/$N$112+$O$4)/2</f>
        <v>321.98982652807649</v>
      </c>
      <c r="T135" s="129">
        <f>-S135</f>
        <v>-321.98982652807649</v>
      </c>
    </row>
    <row r="136" spans="2:35" x14ac:dyDescent="0.2"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2:35" x14ac:dyDescent="0.2"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2:35" x14ac:dyDescent="0.2"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2:35" x14ac:dyDescent="0.2"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2:35" x14ac:dyDescent="0.2"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spans="2:35" x14ac:dyDescent="0.2"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spans="2:35" x14ac:dyDescent="0.2"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spans="2:35" x14ac:dyDescent="0.2"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spans="2:35" x14ac:dyDescent="0.2"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spans="26:35" x14ac:dyDescent="0.2"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</row>
    <row r="146" spans="26:35" x14ac:dyDescent="0.2"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</row>
    <row r="147" spans="26:35" x14ac:dyDescent="0.2"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</row>
    <row r="148" spans="26:35" x14ac:dyDescent="0.2"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spans="26:35" x14ac:dyDescent="0.2"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spans="26:35" x14ac:dyDescent="0.2"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spans="26:35" x14ac:dyDescent="0.2"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spans="26:35" x14ac:dyDescent="0.2"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  <row r="153" spans="26:35" x14ac:dyDescent="0.2"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</row>
    <row r="154" spans="26:35" x14ac:dyDescent="0.2"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</row>
    <row r="155" spans="26:35" x14ac:dyDescent="0.2"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</row>
    <row r="156" spans="26:35" x14ac:dyDescent="0.2"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</row>
    <row r="157" spans="26:35" x14ac:dyDescent="0.2">
      <c r="Z157" s="12"/>
      <c r="AA157" s="12"/>
      <c r="AB157" s="12"/>
      <c r="AC157" s="12"/>
      <c r="AD157" s="12"/>
      <c r="AE157" s="12"/>
    </row>
    <row r="158" spans="26:35" x14ac:dyDescent="0.2">
      <c r="Z158" s="12"/>
      <c r="AA158" s="12"/>
      <c r="AB158" s="12"/>
      <c r="AC158" s="12"/>
      <c r="AD158" s="12"/>
      <c r="AE158" s="12"/>
    </row>
    <row r="159" spans="26:35" x14ac:dyDescent="0.2">
      <c r="Z159" s="12"/>
      <c r="AA159" s="12"/>
      <c r="AB159" s="12"/>
      <c r="AC159" s="12"/>
      <c r="AD159" s="12"/>
      <c r="AE159" s="12"/>
    </row>
    <row r="160" spans="26:35" x14ac:dyDescent="0.2">
      <c r="Z160" s="12"/>
      <c r="AA160" s="12"/>
      <c r="AB160" s="12"/>
      <c r="AC160" s="12"/>
      <c r="AD160" s="12"/>
      <c r="AE160" s="12"/>
    </row>
  </sheetData>
  <sheetProtection sheet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56"/>
  <sheetViews>
    <sheetView workbookViewId="0">
      <selection activeCell="D34" sqref="D34"/>
    </sheetView>
  </sheetViews>
  <sheetFormatPr defaultRowHeight="12.75" x14ac:dyDescent="0.2"/>
  <sheetData>
    <row r="1" spans="1:30" x14ac:dyDescent="0.2">
      <c r="A1" s="9" t="s">
        <v>69</v>
      </c>
      <c r="B1" s="12"/>
      <c r="C1" s="17" t="s">
        <v>7</v>
      </c>
      <c r="D1" s="17" t="s">
        <v>8</v>
      </c>
      <c r="E1" s="12"/>
      <c r="F1" s="17" t="s">
        <v>7</v>
      </c>
      <c r="G1" s="17" t="s">
        <v>8</v>
      </c>
      <c r="H1" s="12"/>
    </row>
    <row r="2" spans="1:30" x14ac:dyDescent="0.2">
      <c r="A2" s="12"/>
      <c r="B2" s="12"/>
      <c r="C2" s="130">
        <f>AB6</f>
        <v>57.177645117711975</v>
      </c>
      <c r="D2" s="131">
        <f>AC6</f>
        <v>81.279999999999973</v>
      </c>
      <c r="E2" s="132"/>
      <c r="F2" s="131">
        <f>IF(Design!$H$23="x",C2,0)</f>
        <v>0</v>
      </c>
      <c r="G2" s="176">
        <f>IF(Design!$H$23="x",D2,0)</f>
        <v>0</v>
      </c>
      <c r="H2" s="12"/>
      <c r="U2" s="12" t="s">
        <v>89</v>
      </c>
      <c r="V2" s="12"/>
      <c r="W2" s="12"/>
      <c r="X2" s="12"/>
      <c r="Y2" s="12"/>
      <c r="Z2" s="12"/>
      <c r="AA2" s="12"/>
      <c r="AB2" s="12"/>
      <c r="AC2" s="12"/>
      <c r="AD2" s="12"/>
    </row>
    <row r="3" spans="1:30" x14ac:dyDescent="0.2">
      <c r="A3" s="12"/>
      <c r="B3" s="39">
        <v>1</v>
      </c>
      <c r="C3" s="133">
        <f>AB7</f>
        <v>43.138151306564183</v>
      </c>
      <c r="D3" s="134">
        <f>AC7</f>
        <v>0</v>
      </c>
      <c r="E3" s="135"/>
      <c r="F3" s="134">
        <f>IF(Design!$H$23="x",C3,0)</f>
        <v>0</v>
      </c>
      <c r="G3" s="177">
        <f>IF(Design!$H$23="x",D3,0)</f>
        <v>0</v>
      </c>
      <c r="H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x14ac:dyDescent="0.2">
      <c r="A4" s="12"/>
      <c r="B4" s="9"/>
      <c r="C4" s="136"/>
      <c r="D4" s="137"/>
      <c r="E4" s="150"/>
      <c r="F4" s="145"/>
      <c r="G4" s="178"/>
      <c r="H4" s="12"/>
      <c r="U4" s="12"/>
      <c r="V4" s="17" t="s">
        <v>91</v>
      </c>
      <c r="W4" s="17" t="s">
        <v>92</v>
      </c>
      <c r="X4" s="17" t="s">
        <v>93</v>
      </c>
      <c r="Y4" s="17" t="s">
        <v>94</v>
      </c>
      <c r="Z4" s="17" t="s">
        <v>95</v>
      </c>
      <c r="AA4" s="17" t="s">
        <v>96</v>
      </c>
      <c r="AB4" s="17" t="s">
        <v>7</v>
      </c>
      <c r="AC4" s="17" t="s">
        <v>8</v>
      </c>
      <c r="AD4" s="120" t="s">
        <v>22</v>
      </c>
    </row>
    <row r="5" spans="1:30" x14ac:dyDescent="0.2">
      <c r="A5" s="12"/>
      <c r="B5" s="12"/>
      <c r="C5" s="130">
        <f>AB10</f>
        <v>71.256545636444159</v>
      </c>
      <c r="D5" s="131">
        <f>AC10</f>
        <v>81.279999999999987</v>
      </c>
      <c r="E5" s="132"/>
      <c r="F5" s="131">
        <f>IF(Design!$H$23="x",C5,0)</f>
        <v>0</v>
      </c>
      <c r="G5" s="176">
        <f>IF(Design!$H$23="x",D5,0)</f>
        <v>0</v>
      </c>
      <c r="H5" s="12"/>
      <c r="U5" s="9" t="s">
        <v>120</v>
      </c>
      <c r="V5" s="45">
        <f>Panels!C25</f>
        <v>0</v>
      </c>
      <c r="W5" s="45">
        <f>Panels!D25</f>
        <v>81.28</v>
      </c>
      <c r="X5" s="45">
        <f>Panels!C24</f>
        <v>101.6</v>
      </c>
      <c r="Y5" s="45">
        <f>Panels!D24</f>
        <v>81.28</v>
      </c>
      <c r="Z5" s="128">
        <f>(Y5-W5)/(X5-V5)</f>
        <v>0</v>
      </c>
      <c r="AA5" s="128">
        <f>(Y5*V5-W5*X5)/(V5-X5)</f>
        <v>81.279999999999987</v>
      </c>
      <c r="AB5" s="12"/>
      <c r="AC5" s="45"/>
      <c r="AD5" s="45"/>
    </row>
    <row r="6" spans="1:30" x14ac:dyDescent="0.2">
      <c r="A6" s="12"/>
      <c r="B6" s="9">
        <v>2</v>
      </c>
      <c r="C6" s="133">
        <f>AB11</f>
        <v>15.555401946728297</v>
      </c>
      <c r="D6" s="134">
        <f>AC11</f>
        <v>0</v>
      </c>
      <c r="E6" s="135"/>
      <c r="F6" s="134">
        <f>IF(Design!$H$23="x",C6,0)</f>
        <v>0</v>
      </c>
      <c r="G6" s="177">
        <f>IF(Design!$H$23="x",D6,0)</f>
        <v>0</v>
      </c>
      <c r="H6" s="12"/>
      <c r="U6" s="9" t="s">
        <v>86</v>
      </c>
      <c r="V6" s="45">
        <f>Panels!C60</f>
        <v>48.017890467794388</v>
      </c>
      <c r="W6" s="45">
        <f>Panels!D60</f>
        <v>28.250676581363489</v>
      </c>
      <c r="X6" s="45">
        <f>Panels!C61</f>
        <v>52.366353663341243</v>
      </c>
      <c r="Y6" s="45">
        <f>Panels!D61</f>
        <v>53.425593375970678</v>
      </c>
      <c r="Z6" s="128">
        <f>(Y6-W6)/(X6-V6)</f>
        <v>5.7893825157329477</v>
      </c>
      <c r="AA6" s="128">
        <f>(Y6*V6-W6*X6)/(V6-X6)</f>
        <v>-249.74325893526509</v>
      </c>
      <c r="AB6" s="45">
        <f>(AA5-AA6)/(Z6-Z5)</f>
        <v>57.177645117711975</v>
      </c>
      <c r="AC6" s="45">
        <f>AB6*Z6+AA6</f>
        <v>81.279999999999973</v>
      </c>
      <c r="AD6" s="45">
        <f>(AB6^2+AC6^2)^0.5</f>
        <v>99.376664772002727</v>
      </c>
    </row>
    <row r="7" spans="1:30" x14ac:dyDescent="0.2">
      <c r="A7" s="12"/>
      <c r="B7" s="12"/>
      <c r="C7" s="143"/>
      <c r="D7" s="144"/>
      <c r="E7" s="144"/>
      <c r="F7" s="138"/>
      <c r="G7" s="177"/>
      <c r="H7" s="12"/>
      <c r="U7" s="9" t="s">
        <v>121</v>
      </c>
      <c r="V7" s="45">
        <f>Panels!C26</f>
        <v>0</v>
      </c>
      <c r="W7" s="45">
        <f>Panels!D26</f>
        <v>0</v>
      </c>
      <c r="X7" s="45">
        <f>Panels!C27</f>
        <v>101.6</v>
      </c>
      <c r="Y7" s="45">
        <f>Panels!D27</f>
        <v>0</v>
      </c>
      <c r="Z7" s="128">
        <f>(Y7-W7)/(X7-V7)</f>
        <v>0</v>
      </c>
      <c r="AA7" s="128">
        <f>(Y7*V7-W7*X7)/(V7-X7)</f>
        <v>0</v>
      </c>
      <c r="AB7" s="45">
        <f>(AA6-AA7)/(Z7-Z6)</f>
        <v>43.138151306564183</v>
      </c>
      <c r="AC7" s="45">
        <f>AB7*Z7+AA7</f>
        <v>0</v>
      </c>
      <c r="AD7" s="45">
        <f>(AB7^2+AC7^2)^0.5</f>
        <v>43.138151306564183</v>
      </c>
    </row>
    <row r="8" spans="1:30" x14ac:dyDescent="0.2">
      <c r="A8" s="12"/>
      <c r="B8" s="9"/>
      <c r="C8" s="130">
        <f>Panels!C21</f>
        <v>53.199501355319427</v>
      </c>
      <c r="D8" s="131">
        <f>Panels!D21</f>
        <v>81.28</v>
      </c>
      <c r="E8" s="132"/>
      <c r="F8" s="131">
        <f>IF(Design!$H$23="x",C8,0)</f>
        <v>0</v>
      </c>
      <c r="G8" s="176">
        <f>IF(Design!$H$23="x",D8,0)</f>
        <v>0</v>
      </c>
      <c r="H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x14ac:dyDescent="0.2">
      <c r="A9" s="12"/>
      <c r="B9" s="9">
        <v>3</v>
      </c>
      <c r="C9" s="133">
        <f>(D9-Panels!D20)*(Panels!C21-Panels!C20)/(Panels!D21-Panels!D20)+Panels!C20</f>
        <v>30.963809533595182</v>
      </c>
      <c r="D9" s="134">
        <f>Panels!D26</f>
        <v>0</v>
      </c>
      <c r="E9" s="135"/>
      <c r="F9" s="134">
        <f>IF(Design!$H$23="x",C9,0)</f>
        <v>0</v>
      </c>
      <c r="G9" s="177">
        <f>IF(Design!$H$23="x",D9,0)</f>
        <v>0</v>
      </c>
      <c r="H9" s="12"/>
      <c r="U9" s="9" t="s">
        <v>120</v>
      </c>
      <c r="V9" s="45">
        <f>V5</f>
        <v>0</v>
      </c>
      <c r="W9" s="45">
        <f>W5</f>
        <v>81.28</v>
      </c>
      <c r="X9" s="45">
        <f>X5</f>
        <v>101.6</v>
      </c>
      <c r="Y9" s="45">
        <f>Y5</f>
        <v>81.28</v>
      </c>
      <c r="Z9" s="128">
        <f>(Y9-W9)/(X9-V9)</f>
        <v>0</v>
      </c>
      <c r="AA9" s="128">
        <f>(Y9*V9-W9*X9)/(V9-X9)</f>
        <v>81.279999999999987</v>
      </c>
      <c r="AB9" s="12"/>
      <c r="AC9" s="45"/>
      <c r="AD9" s="45"/>
    </row>
    <row r="10" spans="1:30" x14ac:dyDescent="0.2">
      <c r="A10" s="12"/>
      <c r="B10" s="9"/>
      <c r="C10" s="149"/>
      <c r="D10" s="150"/>
      <c r="E10" s="150"/>
      <c r="F10" s="145"/>
      <c r="G10" s="178"/>
      <c r="H10" s="12"/>
      <c r="U10" s="9" t="s">
        <v>86</v>
      </c>
      <c r="V10" s="45">
        <f>Panels!C69</f>
        <v>52.655288761166489</v>
      </c>
      <c r="W10" s="45">
        <f>Panels!D69</f>
        <v>54.136748377651102</v>
      </c>
      <c r="X10" s="45">
        <f>Panels!C68</f>
        <v>61.791812788319135</v>
      </c>
      <c r="Y10" s="45">
        <f>Panels!D68</f>
        <v>67.468910407639669</v>
      </c>
      <c r="Z10" s="128">
        <f>(Y10-W10)/(X10-V10)</f>
        <v>1.4592159983782662</v>
      </c>
      <c r="AA10" s="128">
        <f>(Y10*V10-W10*X10)/(V10-X10)</f>
        <v>-22.698691381870358</v>
      </c>
      <c r="AB10" s="45">
        <f>(AA9-AA10)/(Z10-Z9)</f>
        <v>71.256545636444159</v>
      </c>
      <c r="AC10" s="45">
        <f>AB10*Z10+AA10</f>
        <v>81.279999999999987</v>
      </c>
      <c r="AD10" s="45">
        <f>(AB10^2+AC10^2)^0.5</f>
        <v>108.09224623458728</v>
      </c>
    </row>
    <row r="11" spans="1:30" x14ac:dyDescent="0.2">
      <c r="A11" s="12"/>
      <c r="B11" s="9"/>
      <c r="C11" s="130">
        <f>AB14</f>
        <v>86.695400081846387</v>
      </c>
      <c r="D11" s="131">
        <f>AC14</f>
        <v>81.279999999999973</v>
      </c>
      <c r="E11" s="132"/>
      <c r="F11" s="131">
        <f>IF(Design!$H$23="x",C11,0)</f>
        <v>0</v>
      </c>
      <c r="G11" s="176">
        <f>IF(Design!$H$23="x",D11,0)</f>
        <v>0</v>
      </c>
      <c r="H11" s="12"/>
      <c r="U11" s="9" t="s">
        <v>121</v>
      </c>
      <c r="V11" s="45">
        <f>V7</f>
        <v>0</v>
      </c>
      <c r="W11" s="45">
        <f>W7</f>
        <v>0</v>
      </c>
      <c r="X11" s="45">
        <f>X7</f>
        <v>101.6</v>
      </c>
      <c r="Y11" s="45">
        <f>Y7</f>
        <v>0</v>
      </c>
      <c r="Z11" s="128">
        <f>(Y11-W11)/(X11-V11)</f>
        <v>0</v>
      </c>
      <c r="AA11" s="128">
        <f>(Y11*V11-W11*X11)/(V11-X11)</f>
        <v>0</v>
      </c>
      <c r="AB11" s="45">
        <f>(AA10-AA11)/(Z11-Z10)</f>
        <v>15.555401946728297</v>
      </c>
      <c r="AC11" s="45">
        <f>AB11*Z11+AA11</f>
        <v>0</v>
      </c>
      <c r="AD11" s="45">
        <f>(AB11^2+AC11^2)^0.5</f>
        <v>15.555401946728297</v>
      </c>
    </row>
    <row r="12" spans="1:30" x14ac:dyDescent="0.2">
      <c r="A12" s="12"/>
      <c r="B12" s="9">
        <v>4</v>
      </c>
      <c r="C12" s="133">
        <f>AB15</f>
        <v>75.032997840793129</v>
      </c>
      <c r="D12" s="134">
        <f>AC15</f>
        <v>0</v>
      </c>
      <c r="E12" s="135"/>
      <c r="F12" s="134">
        <f>IF(Design!$H$23="x",C12,0)</f>
        <v>0</v>
      </c>
      <c r="G12" s="177">
        <f>IF(Design!$H$23="x",D12,0)</f>
        <v>0</v>
      </c>
      <c r="H12" s="12"/>
    </row>
    <row r="13" spans="1:30" x14ac:dyDescent="0.2">
      <c r="A13" s="12"/>
      <c r="B13" s="9"/>
      <c r="C13" s="149"/>
      <c r="D13" s="150"/>
      <c r="E13" s="150"/>
      <c r="F13" s="145"/>
      <c r="G13" s="178"/>
      <c r="H13" s="12"/>
      <c r="U13" s="9" t="s">
        <v>120</v>
      </c>
      <c r="V13" s="45">
        <f>V9</f>
        <v>0</v>
      </c>
      <c r="W13" s="45">
        <f>W9</f>
        <v>81.28</v>
      </c>
      <c r="X13" s="45">
        <f>X9</f>
        <v>101.6</v>
      </c>
      <c r="Y13" s="45">
        <f>Y9</f>
        <v>81.28</v>
      </c>
      <c r="Z13" s="128">
        <f>(Y13-W13)/(X13-V13)</f>
        <v>0</v>
      </c>
      <c r="AA13" s="128">
        <f>(Y13*V13-W13*X13)/(V13-X13)</f>
        <v>81.279999999999987</v>
      </c>
      <c r="AB13" s="12"/>
      <c r="AC13" s="45"/>
      <c r="AD13" s="45"/>
    </row>
    <row r="14" spans="1:30" x14ac:dyDescent="0.2">
      <c r="A14" s="12"/>
      <c r="B14" s="9"/>
      <c r="C14" s="130">
        <f>Panels!C26</f>
        <v>0</v>
      </c>
      <c r="D14" s="131">
        <f>Panels!D26</f>
        <v>0</v>
      </c>
      <c r="E14" s="132"/>
      <c r="F14" s="131">
        <f>IF(Design!$H$23="x",C14,0)</f>
        <v>0</v>
      </c>
      <c r="G14" s="176">
        <f>IF(Design!$H$23="x",D14,0)</f>
        <v>0</v>
      </c>
      <c r="H14" s="12"/>
      <c r="U14" s="9" t="s">
        <v>122</v>
      </c>
      <c r="V14" s="45">
        <f>Panels!C50</f>
        <v>78.495664084834161</v>
      </c>
      <c r="W14" s="45">
        <f>Panels!D50</f>
        <v>24.132722101191728</v>
      </c>
      <c r="X14" s="45">
        <f>Panels!C74</f>
        <v>84.09989531048106</v>
      </c>
      <c r="Y14" s="45">
        <f>Panels!D74</f>
        <v>63.190877068366071</v>
      </c>
      <c r="Z14" s="128">
        <f>(Y14-W14)/(X14-V14)</f>
        <v>6.9694046149328619</v>
      </c>
      <c r="AA14" s="128">
        <f>(Y14*V14-W14*X14)/(V14-X14)</f>
        <v>-522.93532142387107</v>
      </c>
      <c r="AB14" s="45">
        <f>(AA13-AA14)/(Z14-Z13)</f>
        <v>86.695400081846387</v>
      </c>
      <c r="AC14" s="45">
        <f>AB14*Z14+AA14</f>
        <v>81.279999999999973</v>
      </c>
      <c r="AD14" s="45">
        <f>(AB14^2+AC14^2)^0.5</f>
        <v>118.83825476399174</v>
      </c>
    </row>
    <row r="15" spans="1:30" x14ac:dyDescent="0.2">
      <c r="A15" s="12"/>
      <c r="B15" s="9">
        <v>5</v>
      </c>
      <c r="C15" s="133">
        <f>Panels!C25</f>
        <v>0</v>
      </c>
      <c r="D15" s="134">
        <f>Panels!D25</f>
        <v>81.28</v>
      </c>
      <c r="E15" s="135"/>
      <c r="F15" s="134">
        <f>IF(Design!$H$23="x",C15,0)</f>
        <v>0</v>
      </c>
      <c r="G15" s="177">
        <f>IF(Design!$H$23="x",D15,0)</f>
        <v>0</v>
      </c>
      <c r="H15" s="12"/>
      <c r="U15" s="9" t="s">
        <v>121</v>
      </c>
      <c r="V15" s="45">
        <f>V11</f>
        <v>0</v>
      </c>
      <c r="W15" s="45">
        <f>W11</f>
        <v>0</v>
      </c>
      <c r="X15" s="45">
        <f>X11</f>
        <v>101.6</v>
      </c>
      <c r="Y15" s="45">
        <f>Y11</f>
        <v>0</v>
      </c>
      <c r="Z15" s="128">
        <f>(Y15-W15)/(X15-V15)</f>
        <v>0</v>
      </c>
      <c r="AA15" s="128">
        <f>(Y15*V15-W15*X15)/(V15-X15)</f>
        <v>0</v>
      </c>
      <c r="AB15" s="45">
        <f>(AA14-AA15)/(Z15-Z14)</f>
        <v>75.032997840793129</v>
      </c>
      <c r="AC15" s="45">
        <f>AB15*Z15+AA15</f>
        <v>0</v>
      </c>
      <c r="AD15" s="45">
        <f>(AB15^2+AC15^2)^0.5</f>
        <v>75.032997840793129</v>
      </c>
    </row>
    <row r="16" spans="1:30" x14ac:dyDescent="0.2">
      <c r="A16" s="12"/>
      <c r="B16" s="9"/>
      <c r="C16" s="149"/>
      <c r="D16" s="150"/>
      <c r="E16" s="150"/>
      <c r="F16" s="145"/>
      <c r="G16" s="178"/>
      <c r="H16" s="12"/>
    </row>
    <row r="17" spans="1:8" x14ac:dyDescent="0.2">
      <c r="A17" s="12"/>
      <c r="B17" s="9"/>
      <c r="C17" s="130">
        <f>Panels!C26</f>
        <v>0</v>
      </c>
      <c r="D17" s="131">
        <f>(C17-Panels!C49)*(Panels!D50-Panels!D49)/(Panels!C50-Panels!C49)+Panels!D49</f>
        <v>29.621673642032889</v>
      </c>
      <c r="E17" s="132"/>
      <c r="F17" s="131">
        <f>IF(Design!$H$23="x",C17,0)</f>
        <v>0</v>
      </c>
      <c r="G17" s="176">
        <f>IF(Design!$H$23="x",D17,0)</f>
        <v>0</v>
      </c>
      <c r="H17" s="12"/>
    </row>
    <row r="18" spans="1:8" x14ac:dyDescent="0.2">
      <c r="A18" s="12"/>
      <c r="B18" s="9">
        <v>6</v>
      </c>
      <c r="C18" s="133">
        <f>Panels!C27</f>
        <v>101.6</v>
      </c>
      <c r="D18" s="134">
        <f>(C18-Panels!C49)*(Panels!D50-Panels!D49)/(Panels!C50-Panels!C49)+Panels!D49</f>
        <v>22.517109548572233</v>
      </c>
      <c r="E18" s="135"/>
      <c r="F18" s="134">
        <f>IF(Design!$H$23="x",C18,0)</f>
        <v>0</v>
      </c>
      <c r="G18" s="177">
        <f>IF(Design!$H$23="x",D18,0)</f>
        <v>0</v>
      </c>
      <c r="H18" s="12"/>
    </row>
    <row r="19" spans="1:8" x14ac:dyDescent="0.2">
      <c r="A19" s="12"/>
      <c r="B19" s="9"/>
      <c r="C19" s="149"/>
      <c r="D19" s="150"/>
      <c r="E19" s="150"/>
      <c r="F19" s="145"/>
      <c r="G19" s="178"/>
      <c r="H19" s="12"/>
    </row>
    <row r="20" spans="1:8" x14ac:dyDescent="0.2">
      <c r="A20" s="12"/>
      <c r="B20" s="9"/>
      <c r="C20" s="130">
        <f>Panels!C26</f>
        <v>0</v>
      </c>
      <c r="D20" s="131">
        <f>Panels!D26</f>
        <v>0</v>
      </c>
      <c r="E20" s="132"/>
      <c r="F20" s="131">
        <f>IF(Design!$H$23="x",C20,0)</f>
        <v>0</v>
      </c>
      <c r="G20" s="176">
        <f>IF(Design!$H$23="x",D20,0)</f>
        <v>0</v>
      </c>
      <c r="H20" s="12"/>
    </row>
    <row r="21" spans="1:8" x14ac:dyDescent="0.2">
      <c r="A21" s="12"/>
      <c r="B21" s="9">
        <v>7</v>
      </c>
      <c r="C21" s="133">
        <f>Panels!C27</f>
        <v>101.6</v>
      </c>
      <c r="D21" s="134">
        <f>Panels!D27</f>
        <v>0</v>
      </c>
      <c r="E21" s="135"/>
      <c r="F21" s="134">
        <f>IF(Design!$H$23="x",C21,0)</f>
        <v>0</v>
      </c>
      <c r="G21" s="177">
        <f>IF(Design!$H$23="x",D21,0)</f>
        <v>0</v>
      </c>
      <c r="H21" s="12"/>
    </row>
    <row r="22" spans="1:8" x14ac:dyDescent="0.2">
      <c r="A22" s="12"/>
      <c r="B22" s="9"/>
      <c r="C22" s="149"/>
      <c r="D22" s="150"/>
      <c r="E22" s="150"/>
      <c r="F22" s="145"/>
      <c r="G22" s="178"/>
      <c r="H22" s="12"/>
    </row>
    <row r="23" spans="1:8" x14ac:dyDescent="0.2">
      <c r="A23" s="12"/>
      <c r="B23" s="9"/>
      <c r="C23" s="130">
        <f>Panels!C26</f>
        <v>0</v>
      </c>
      <c r="D23" s="131">
        <f>(C23-Panels!C72)*(Panels!D73-Panels!D72)/(Panels!C73-Panels!C72)+Panels!D72</f>
        <v>70.876110048757099</v>
      </c>
      <c r="E23" s="132"/>
      <c r="F23" s="131">
        <f>IF(Design!$H$23="x",C23,0)</f>
        <v>0</v>
      </c>
      <c r="G23" s="176">
        <f>IF(Design!$H$23="x",D23,0)</f>
        <v>0</v>
      </c>
      <c r="H23" s="12"/>
    </row>
    <row r="24" spans="1:8" x14ac:dyDescent="0.2">
      <c r="A24" s="12"/>
      <c r="B24" s="9">
        <v>8</v>
      </c>
      <c r="C24" s="133">
        <f>Panels!C27</f>
        <v>101.6</v>
      </c>
      <c r="D24" s="134">
        <f>(C24-Panels!C72)*(Panels!D73-Panels!D72)/(Panels!C73-Panels!C72)+Panels!D72</f>
        <v>63.771545955296446</v>
      </c>
      <c r="E24" s="135"/>
      <c r="F24" s="134">
        <f>IF(Design!$H$23="x",C24,0)</f>
        <v>0</v>
      </c>
      <c r="G24" s="177">
        <f>IF(Design!$H$23="x",D24,0)</f>
        <v>0</v>
      </c>
      <c r="H24" s="12"/>
    </row>
    <row r="25" spans="1:8" x14ac:dyDescent="0.2">
      <c r="A25" s="12"/>
      <c r="B25" s="9"/>
      <c r="C25" s="149"/>
      <c r="D25" s="150"/>
      <c r="E25" s="150"/>
      <c r="F25" s="145"/>
      <c r="G25" s="178"/>
      <c r="H25" s="12"/>
    </row>
    <row r="26" spans="1:8" x14ac:dyDescent="0.2">
      <c r="A26" s="12"/>
      <c r="B26" s="9"/>
      <c r="C26" s="130">
        <f>Panels!C29</f>
        <v>0</v>
      </c>
      <c r="D26" s="131">
        <f>Panels!D85</f>
        <v>45.4</v>
      </c>
      <c r="E26" s="132"/>
      <c r="F26" s="131">
        <f>IF(Design!$H$23="x",C26,0)</f>
        <v>0</v>
      </c>
      <c r="G26" s="176">
        <f>IF(Design!$H$23="x",D26,0)</f>
        <v>0</v>
      </c>
      <c r="H26" s="12"/>
    </row>
    <row r="27" spans="1:8" x14ac:dyDescent="0.2">
      <c r="A27" s="12"/>
      <c r="B27" s="9">
        <v>9</v>
      </c>
      <c r="C27" s="133">
        <f>Panels!C27</f>
        <v>101.6</v>
      </c>
      <c r="D27" s="134">
        <f>Panels!D84</f>
        <v>45.4</v>
      </c>
      <c r="E27" s="135"/>
      <c r="F27" s="134">
        <f>IF(Design!$H$23="x",C27,0)</f>
        <v>0</v>
      </c>
      <c r="G27" s="177">
        <f>IF(Design!$H$23="x",D27,0)</f>
        <v>0</v>
      </c>
      <c r="H27" s="12"/>
    </row>
    <row r="28" spans="1:8" x14ac:dyDescent="0.2">
      <c r="A28" s="12"/>
      <c r="B28" s="9"/>
      <c r="C28" s="149"/>
      <c r="D28" s="150"/>
      <c r="E28" s="150"/>
      <c r="F28" s="145"/>
      <c r="G28" s="178"/>
      <c r="H28" s="12"/>
    </row>
    <row r="29" spans="1:8" x14ac:dyDescent="0.2">
      <c r="A29" s="12"/>
      <c r="B29" s="9"/>
      <c r="C29" s="130">
        <f>Panels!C26</f>
        <v>0</v>
      </c>
      <c r="D29" s="131">
        <f>Panels!D26</f>
        <v>0</v>
      </c>
      <c r="E29" s="132"/>
      <c r="F29" s="131">
        <f>IF(Design!$H$23="x",C29,0)</f>
        <v>0</v>
      </c>
      <c r="G29" s="176">
        <f>IF(Design!$H$23="x",D29,0)</f>
        <v>0</v>
      </c>
      <c r="H29" s="12"/>
    </row>
    <row r="30" spans="1:8" x14ac:dyDescent="0.2">
      <c r="A30" s="12"/>
      <c r="B30" s="9">
        <v>10</v>
      </c>
      <c r="C30" s="133">
        <f>Panels!C25</f>
        <v>0</v>
      </c>
      <c r="D30" s="134">
        <f>Panels!D25</f>
        <v>81.28</v>
      </c>
      <c r="E30" s="135"/>
      <c r="F30" s="134">
        <f>IF(Design!$H$23="x",C30,0)</f>
        <v>0</v>
      </c>
      <c r="G30" s="177">
        <f>IF(Design!$H$23="x",D30,0)</f>
        <v>0</v>
      </c>
      <c r="H30" s="12"/>
    </row>
    <row r="31" spans="1:8" x14ac:dyDescent="0.2">
      <c r="A31" s="12"/>
      <c r="B31" s="9"/>
      <c r="C31" s="149"/>
      <c r="D31" s="150"/>
      <c r="E31" s="150"/>
      <c r="F31" s="145"/>
      <c r="G31" s="178"/>
      <c r="H31" s="12"/>
    </row>
    <row r="32" spans="1:8" x14ac:dyDescent="0.2">
      <c r="A32" s="12"/>
      <c r="B32" s="9"/>
      <c r="C32" s="130">
        <f>Panels!C29</f>
        <v>0</v>
      </c>
      <c r="D32" s="131">
        <f>Panels!D29</f>
        <v>0</v>
      </c>
      <c r="E32" s="132"/>
      <c r="F32" s="131">
        <f>IF(Design!$H$23="x",C32,0)</f>
        <v>0</v>
      </c>
      <c r="G32" s="176">
        <f>IF(Design!$H$23="x",D32,0)</f>
        <v>0</v>
      </c>
      <c r="H32" s="12"/>
    </row>
    <row r="33" spans="1:8" x14ac:dyDescent="0.2">
      <c r="A33" s="12"/>
      <c r="B33" s="9">
        <v>11</v>
      </c>
      <c r="C33" s="133">
        <f>Panels!C27</f>
        <v>101.6</v>
      </c>
      <c r="D33" s="134">
        <f>Panels!D27</f>
        <v>0</v>
      </c>
      <c r="E33" s="135"/>
      <c r="F33" s="134">
        <f>IF(Design!$H$23="x",C33,0)</f>
        <v>0</v>
      </c>
      <c r="G33" s="177">
        <f>IF(Design!$H$23="x",D33,0)</f>
        <v>0</v>
      </c>
      <c r="H33" s="12"/>
    </row>
    <row r="34" spans="1:8" x14ac:dyDescent="0.2">
      <c r="A34" s="12"/>
      <c r="B34" s="9"/>
      <c r="C34" s="149"/>
      <c r="D34" s="150"/>
      <c r="E34" s="150"/>
      <c r="F34" s="145"/>
      <c r="G34" s="178"/>
      <c r="H34" s="12"/>
    </row>
    <row r="35" spans="1:8" x14ac:dyDescent="0.2">
      <c r="A35" s="12"/>
      <c r="E35" s="12"/>
      <c r="F35" s="12"/>
      <c r="G35" s="12"/>
      <c r="H35" s="12"/>
    </row>
    <row r="36" spans="1:8" x14ac:dyDescent="0.2">
      <c r="A36" s="12"/>
      <c r="E36" s="12"/>
      <c r="F36" s="12"/>
      <c r="G36" s="12"/>
      <c r="H36" s="12"/>
    </row>
    <row r="37" spans="1:8" x14ac:dyDescent="0.2">
      <c r="A37" s="12"/>
      <c r="E37" s="12"/>
      <c r="F37" s="12"/>
      <c r="G37" s="12"/>
      <c r="H37" s="12"/>
    </row>
    <row r="38" spans="1:8" x14ac:dyDescent="0.2">
      <c r="A38" s="12"/>
      <c r="E38" s="12"/>
      <c r="F38" s="12"/>
      <c r="G38" s="12"/>
      <c r="H38" s="12"/>
    </row>
    <row r="39" spans="1:8" x14ac:dyDescent="0.2">
      <c r="A39" s="12"/>
      <c r="E39" s="12"/>
      <c r="F39" s="12"/>
      <c r="G39" s="12"/>
      <c r="H39" s="12"/>
    </row>
    <row r="40" spans="1:8" x14ac:dyDescent="0.2">
      <c r="A40" s="12"/>
      <c r="E40" s="12"/>
      <c r="F40" s="12"/>
      <c r="G40" s="12"/>
      <c r="H40" s="12"/>
    </row>
    <row r="41" spans="1:8" x14ac:dyDescent="0.2">
      <c r="A41" s="12"/>
      <c r="B41" s="12"/>
      <c r="C41" s="17" t="s">
        <v>7</v>
      </c>
      <c r="D41" s="17" t="s">
        <v>8</v>
      </c>
      <c r="E41" s="12"/>
      <c r="F41" s="12"/>
      <c r="G41" s="12"/>
      <c r="H41" s="12"/>
    </row>
    <row r="42" spans="1:8" x14ac:dyDescent="0.2">
      <c r="A42" s="12"/>
      <c r="B42" s="12"/>
      <c r="C42" s="130">
        <f>Path!N4</f>
        <v>0</v>
      </c>
      <c r="D42" s="176">
        <f>Path!$S$130</f>
        <v>1284.6984126984125</v>
      </c>
      <c r="E42" s="12"/>
      <c r="F42" s="12"/>
      <c r="G42" s="12"/>
      <c r="H42" s="12"/>
    </row>
    <row r="43" spans="1:8" x14ac:dyDescent="0.2">
      <c r="A43" s="12"/>
      <c r="B43" s="39" t="s">
        <v>15</v>
      </c>
      <c r="C43" s="133">
        <f>C42</f>
        <v>0</v>
      </c>
      <c r="D43" s="177">
        <f>-D42</f>
        <v>-1284.6984126984125</v>
      </c>
      <c r="E43" s="12"/>
      <c r="F43" s="12"/>
      <c r="G43" s="12"/>
      <c r="H43" s="12"/>
    </row>
    <row r="44" spans="1:8" x14ac:dyDescent="0.2">
      <c r="A44" s="12"/>
      <c r="B44" s="9"/>
      <c r="C44" s="136"/>
      <c r="D44" s="179"/>
      <c r="E44" s="12"/>
      <c r="F44" s="12"/>
      <c r="G44" s="12"/>
      <c r="H44" s="12"/>
    </row>
    <row r="45" spans="1:8" x14ac:dyDescent="0.2">
      <c r="A45" s="12"/>
      <c r="B45" s="12"/>
      <c r="C45" s="130">
        <f>Path!N13</f>
        <v>26.825126465333199</v>
      </c>
      <c r="D45" s="176">
        <f>Path!$S$130</f>
        <v>1284.6984126984125</v>
      </c>
      <c r="E45" s="12"/>
      <c r="F45" s="12"/>
      <c r="G45" s="12"/>
      <c r="H45" s="12"/>
    </row>
    <row r="46" spans="1:8" x14ac:dyDescent="0.2">
      <c r="A46" s="12"/>
      <c r="B46" s="9" t="s">
        <v>46</v>
      </c>
      <c r="C46" s="133">
        <f>C45</f>
        <v>26.825126465333199</v>
      </c>
      <c r="D46" s="177">
        <f>-D45</f>
        <v>-1284.6984126984125</v>
      </c>
      <c r="E46" s="12"/>
      <c r="F46" s="12"/>
      <c r="G46" s="12"/>
      <c r="H46" s="12"/>
    </row>
    <row r="47" spans="1:8" x14ac:dyDescent="0.2">
      <c r="A47" s="12"/>
      <c r="B47" s="12"/>
      <c r="C47" s="136"/>
      <c r="D47" s="179"/>
      <c r="E47" s="12"/>
      <c r="F47" s="12"/>
      <c r="G47" s="12"/>
      <c r="H47" s="12"/>
    </row>
    <row r="48" spans="1:8" x14ac:dyDescent="0.2">
      <c r="A48" s="12"/>
      <c r="B48" s="9"/>
      <c r="C48" s="130">
        <f>Panels!U94</f>
        <v>236.79736305904493</v>
      </c>
      <c r="D48" s="176">
        <f>Path!$S$130</f>
        <v>1284.6984126984125</v>
      </c>
      <c r="E48" s="12"/>
      <c r="F48" s="12"/>
      <c r="G48" s="12"/>
      <c r="H48" s="12"/>
    </row>
    <row r="49" spans="2:4" x14ac:dyDescent="0.2">
      <c r="B49" s="9" t="s">
        <v>60</v>
      </c>
      <c r="C49" s="133">
        <f>C48</f>
        <v>236.79736305904493</v>
      </c>
      <c r="D49" s="177">
        <f>-D48</f>
        <v>-1284.6984126984125</v>
      </c>
    </row>
    <row r="50" spans="2:4" x14ac:dyDescent="0.2">
      <c r="B50" s="9"/>
      <c r="C50" s="136"/>
      <c r="D50" s="179"/>
    </row>
    <row r="51" spans="2:4" x14ac:dyDescent="0.2">
      <c r="B51" s="9"/>
      <c r="C51" s="130">
        <f>Path!N124</f>
        <v>293.5985248531307</v>
      </c>
      <c r="D51" s="176">
        <f>Path!$S$130</f>
        <v>1284.6984126984125</v>
      </c>
    </row>
    <row r="52" spans="2:4" x14ac:dyDescent="0.2">
      <c r="B52" s="9" t="s">
        <v>16</v>
      </c>
      <c r="C52" s="133">
        <f>C51</f>
        <v>293.5985248531307</v>
      </c>
      <c r="D52" s="177">
        <f>-D51</f>
        <v>-1284.6984126984125</v>
      </c>
    </row>
    <row r="53" spans="2:4" x14ac:dyDescent="0.2">
      <c r="B53" s="9"/>
      <c r="C53" s="136"/>
      <c r="D53" s="179"/>
    </row>
    <row r="54" spans="2:4" x14ac:dyDescent="0.2">
      <c r="B54" s="9"/>
      <c r="C54" s="130">
        <f>Path!N130</f>
        <v>316.64520581289304</v>
      </c>
      <c r="D54" s="176">
        <f>Path!$S$130</f>
        <v>1284.6984126984125</v>
      </c>
    </row>
    <row r="55" spans="2:4" x14ac:dyDescent="0.2">
      <c r="B55" s="9" t="s">
        <v>61</v>
      </c>
      <c r="C55" s="133">
        <f>C54</f>
        <v>316.64520581289304</v>
      </c>
      <c r="D55" s="177">
        <f>-D54</f>
        <v>-1284.6984126984125</v>
      </c>
    </row>
    <row r="56" spans="2:4" x14ac:dyDescent="0.2">
      <c r="B56" s="9"/>
      <c r="C56" s="143"/>
      <c r="D56" s="180"/>
    </row>
  </sheetData>
  <sheetProtection sheet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V38" sqref="V38"/>
    </sheetView>
  </sheetViews>
  <sheetFormatPr defaultRowHeight="12.75" x14ac:dyDescent="0.2"/>
  <sheetData/>
  <sheetProtection sheet="1"/>
  <pageMargins left="0.7" right="0.7" top="0.75" bottom="0.75" header="0.3" footer="0.3"/>
  <pageSetup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C19"/>
  <sheetViews>
    <sheetView workbookViewId="0">
      <selection activeCell="C10" sqref="C10"/>
    </sheetView>
  </sheetViews>
  <sheetFormatPr defaultRowHeight="12.75" x14ac:dyDescent="0.2"/>
  <cols>
    <col min="3" max="3" width="50.7109375" style="195" customWidth="1"/>
  </cols>
  <sheetData>
    <row r="2" spans="2:3" ht="18" x14ac:dyDescent="0.25">
      <c r="B2" s="197" t="s">
        <v>123</v>
      </c>
    </row>
    <row r="4" spans="2:3" ht="30" x14ac:dyDescent="0.2">
      <c r="B4" s="198">
        <v>1</v>
      </c>
      <c r="C4" s="199" t="str">
        <f>CONCATENATE("Cut out the side panels, ",Design!$E$48,"cm x ",Design!$F$48,"cm (2 are required)")</f>
        <v>Cut out the side panels, 101.6cm x 81.3cm (2 are required)</v>
      </c>
    </row>
    <row r="5" spans="2:3" ht="30" x14ac:dyDescent="0.2">
      <c r="B5" s="198">
        <v>2</v>
      </c>
      <c r="C5" s="199" t="s">
        <v>124</v>
      </c>
    </row>
    <row r="6" spans="2:3" ht="90" x14ac:dyDescent="0.2">
      <c r="B6" s="198">
        <v>3</v>
      </c>
      <c r="C6" s="199" t="str">
        <f>CONCATENATE("Prepare the speaker baffle.  This should consist of two panels, ",Design!$E$47,"cm x ",Design!$F$47,"cm. In the center of one panel, cut a hole that is ",Design!$D$4,"cm in diameter. In the center of the other, cut a circle ",Design!$D$5,"cm in diameter. Then glue both panels together, one on top of the other, with all of the edges flush.")</f>
        <v>Prepare the speaker baffle.  This should consist of two panels, 53.6cm x 54.5cm. In the center of one panel, cut a hole that is 45.7cm in diameter. In the center of the other, cut a circle 41.8cm in diameter. Then glue both panels together, one on top of the other, with all of the edges flush.</v>
      </c>
    </row>
    <row r="7" spans="2:3" ht="63" customHeight="1" x14ac:dyDescent="0.2">
      <c r="B7" s="198">
        <v>4</v>
      </c>
      <c r="C7" s="199" t="str">
        <f>CONCATENATE("Cut out the internal panels (",Design!$E$51,"cm x ",Design!$F$51,"cm), (",Design!$E$53,"cm x ",Design!$F$53,"cm), (",Design!E54,"cm x ",Design!F54,"cm), (",Design!E55,"cm x ",Design!F55,"cm), (",Design!E56,"cm x ",Design!F56,"cm). Also cut out the bracing for the two internal panels facing the driver.")</f>
        <v>Cut out the internal panels (53.6cm x 43.5cm), (53.6cm x 25.5cm), (53.6cm x 16.2cm), (53.6cm x 21cm), (53.6cm x 28.5cm). Also cut out the bracing for the two internal panels facing the driver.</v>
      </c>
    </row>
    <row r="8" spans="2:3" ht="45" x14ac:dyDescent="0.2">
      <c r="B8" s="198">
        <v>5</v>
      </c>
      <c r="C8" s="199" t="s">
        <v>125</v>
      </c>
    </row>
    <row r="9" spans="2:3" ht="30" x14ac:dyDescent="0.2">
      <c r="B9" s="198">
        <v>6</v>
      </c>
      <c r="C9" s="199" t="s">
        <v>139</v>
      </c>
    </row>
    <row r="10" spans="2:3" ht="45" x14ac:dyDescent="0.2">
      <c r="B10" s="198">
        <v>7</v>
      </c>
      <c r="C10" s="199" t="str">
        <f>CONCATENATE("Cut out the front panel (",Design!E50,"cm x ",Design!F50,"cm), top and bottom panels (",Design!E46,"cm x ",Design!F46,"cm), and back panel (",Design!E49,"cm x ",Design!F49,"cm)")</f>
        <v>Cut out the front panel (53.6cm x 46.6cm), top and bottom panels (53.6cm x 81.3cm), and back panel (53.6cm x 98cm)</v>
      </c>
    </row>
    <row r="11" spans="2:3" ht="45" x14ac:dyDescent="0.2">
      <c r="B11" s="198">
        <v>8</v>
      </c>
      <c r="C11" s="199" t="s">
        <v>126</v>
      </c>
    </row>
    <row r="12" spans="2:3" ht="15" x14ac:dyDescent="0.2">
      <c r="B12" s="198">
        <v>9</v>
      </c>
      <c r="C12" s="199" t="s">
        <v>127</v>
      </c>
    </row>
    <row r="13" spans="2:3" ht="45" x14ac:dyDescent="0.2">
      <c r="B13" s="198">
        <v>10</v>
      </c>
      <c r="C13" s="199" t="s">
        <v>128</v>
      </c>
    </row>
    <row r="14" spans="2:3" x14ac:dyDescent="0.2">
      <c r="B14" s="196"/>
    </row>
    <row r="15" spans="2:3" x14ac:dyDescent="0.2">
      <c r="B15" s="196"/>
    </row>
    <row r="16" spans="2:3" x14ac:dyDescent="0.2">
      <c r="B16" s="196"/>
    </row>
    <row r="17" spans="2:2" x14ac:dyDescent="0.2">
      <c r="B17" s="196"/>
    </row>
    <row r="18" spans="2:2" x14ac:dyDescent="0.2">
      <c r="B18" s="196"/>
    </row>
    <row r="19" spans="2:2" x14ac:dyDescent="0.2">
      <c r="B19" s="196"/>
    </row>
  </sheetData>
  <sheetProtection sheet="1"/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28"/>
  <sheetViews>
    <sheetView workbookViewId="0">
      <selection activeCell="W13" sqref="W13"/>
    </sheetView>
  </sheetViews>
  <sheetFormatPr defaultRowHeight="12.75" x14ac:dyDescent="0.2"/>
  <sheetData>
    <row r="1" spans="1:28" x14ac:dyDescent="0.2">
      <c r="A1" s="9" t="s">
        <v>129</v>
      </c>
      <c r="B1" s="12"/>
      <c r="C1" s="17" t="s">
        <v>7</v>
      </c>
      <c r="D1" s="17" t="s">
        <v>8</v>
      </c>
      <c r="E1" s="12"/>
      <c r="F1" s="17" t="s">
        <v>7</v>
      </c>
      <c r="G1" s="17" t="s">
        <v>8</v>
      </c>
      <c r="S1" s="12" t="s">
        <v>89</v>
      </c>
      <c r="T1" s="12"/>
      <c r="U1" s="12"/>
      <c r="V1" s="12"/>
      <c r="W1" s="12"/>
      <c r="X1" s="12"/>
      <c r="Y1" s="12"/>
      <c r="Z1" s="12"/>
      <c r="AA1" s="12"/>
      <c r="AB1" s="12"/>
    </row>
    <row r="2" spans="1:28" x14ac:dyDescent="0.2">
      <c r="A2" s="12"/>
      <c r="B2" s="12"/>
      <c r="C2" s="130">
        <f>Z5</f>
        <v>81.547184131932624</v>
      </c>
      <c r="D2" s="131">
        <f>AA5</f>
        <v>45.4</v>
      </c>
      <c r="E2" s="132"/>
      <c r="F2" s="131">
        <f>IF(Design!$H$22="x",C2,0)</f>
        <v>0</v>
      </c>
      <c r="G2" s="176">
        <f>IF(Design!$H$22="x",D2,0)</f>
        <v>0</v>
      </c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x14ac:dyDescent="0.2">
      <c r="A3" s="12"/>
      <c r="B3" s="39">
        <v>1</v>
      </c>
      <c r="C3" s="133">
        <f>Panels!C84</f>
        <v>99.8</v>
      </c>
      <c r="D3" s="134">
        <f>Panels!D84</f>
        <v>45.4</v>
      </c>
      <c r="E3" s="135"/>
      <c r="F3" s="134">
        <f>IF(Design!$H$22="x",C3,0)</f>
        <v>0</v>
      </c>
      <c r="G3" s="177">
        <f>IF(Design!$H$22="x",D3,0)</f>
        <v>0</v>
      </c>
      <c r="S3" s="12"/>
      <c r="T3" s="17" t="s">
        <v>91</v>
      </c>
      <c r="U3" s="17" t="s">
        <v>92</v>
      </c>
      <c r="V3" s="17" t="s">
        <v>93</v>
      </c>
      <c r="W3" s="17" t="s">
        <v>94</v>
      </c>
      <c r="X3" s="17" t="s">
        <v>95</v>
      </c>
      <c r="Y3" s="17" t="s">
        <v>96</v>
      </c>
      <c r="Z3" s="17" t="s">
        <v>7</v>
      </c>
      <c r="AA3" s="17" t="s">
        <v>8</v>
      </c>
      <c r="AB3" s="120" t="s">
        <v>22</v>
      </c>
    </row>
    <row r="4" spans="1:28" x14ac:dyDescent="0.2">
      <c r="A4" s="12"/>
      <c r="B4" s="9"/>
      <c r="C4" s="200">
        <f>Panels!C31</f>
        <v>99.8</v>
      </c>
      <c r="D4" s="201">
        <f>Panels!D31</f>
        <v>1.8</v>
      </c>
      <c r="E4" s="150"/>
      <c r="F4" s="134">
        <f>IF(Design!$H$22="x",C4,0)</f>
        <v>0</v>
      </c>
      <c r="G4" s="177">
        <f>IF(Design!$H$22="x",D4,0)</f>
        <v>0</v>
      </c>
      <c r="S4" s="9" t="s">
        <v>130</v>
      </c>
      <c r="T4" s="45">
        <f>Guides!C12</f>
        <v>75.032997840793129</v>
      </c>
      <c r="U4" s="45">
        <f>Guides!D12</f>
        <v>0</v>
      </c>
      <c r="V4" s="45">
        <f>Guides!C11</f>
        <v>86.695400081846387</v>
      </c>
      <c r="W4" s="45">
        <f>Guides!D11</f>
        <v>81.279999999999973</v>
      </c>
      <c r="X4" s="128">
        <f>(W4-U4)/(V4-T4)</f>
        <v>6.9694046149328663</v>
      </c>
      <c r="Y4" s="128">
        <f>(W4*T4-U4*V4)/(T4-V4)</f>
        <v>-522.93532142387141</v>
      </c>
      <c r="Z4" s="12"/>
      <c r="AA4" s="45"/>
      <c r="AB4" s="45"/>
    </row>
    <row r="5" spans="1:28" x14ac:dyDescent="0.2">
      <c r="A5" s="12"/>
      <c r="B5" s="12"/>
      <c r="C5" s="130">
        <f>Panels!C30</f>
        <v>1.8</v>
      </c>
      <c r="D5" s="131">
        <f>Panels!D30</f>
        <v>1.8</v>
      </c>
      <c r="E5" s="132"/>
      <c r="F5" s="131">
        <f>IF(Design!$H$22="x",C5,0)</f>
        <v>0</v>
      </c>
      <c r="G5" s="176">
        <f>IF(Design!$H$22="x",D5,0)</f>
        <v>0</v>
      </c>
      <c r="S5" s="9" t="s">
        <v>131</v>
      </c>
      <c r="T5" s="45">
        <f>Guides!C26</f>
        <v>0</v>
      </c>
      <c r="U5" s="45">
        <f>Guides!D26</f>
        <v>45.4</v>
      </c>
      <c r="V5" s="45">
        <f>Guides!C27</f>
        <v>101.6</v>
      </c>
      <c r="W5" s="45">
        <f>Guides!D27</f>
        <v>45.4</v>
      </c>
      <c r="X5" s="128">
        <f>(W5-U5)/(V5-T5)</f>
        <v>0</v>
      </c>
      <c r="Y5" s="128">
        <f>(W5*T5-U5*V5)/(T5-V5)</f>
        <v>45.4</v>
      </c>
      <c r="Z5" s="45">
        <f>(Y4-Y5)/(X5-X4)</f>
        <v>81.547184131932624</v>
      </c>
      <c r="AA5" s="45">
        <f>Z5*X5+Y5</f>
        <v>45.4</v>
      </c>
      <c r="AB5" s="45">
        <f>(Z5^2+AA5^2)^0.5</f>
        <v>93.333291165839228</v>
      </c>
    </row>
    <row r="6" spans="1:28" x14ac:dyDescent="0.2">
      <c r="A6" s="12"/>
      <c r="B6" s="9"/>
      <c r="C6" s="133">
        <f>C5</f>
        <v>1.8</v>
      </c>
      <c r="D6" s="134">
        <f>(Guides!D23+Guides!D17)/2</f>
        <v>50.248891845394994</v>
      </c>
      <c r="E6" s="135"/>
      <c r="F6" s="134">
        <f>IF(Design!$H$22="x",C6,0)</f>
        <v>0</v>
      </c>
      <c r="G6" s="177">
        <f>IF(Design!$H$22="x",D6,0)</f>
        <v>0</v>
      </c>
      <c r="S6" s="9"/>
      <c r="T6" s="45"/>
      <c r="U6" s="45"/>
      <c r="V6" s="45"/>
      <c r="W6" s="45"/>
      <c r="X6" s="128"/>
      <c r="Y6" s="128"/>
      <c r="Z6" s="45"/>
      <c r="AA6" s="45"/>
      <c r="AB6" s="45"/>
    </row>
    <row r="7" spans="1:28" x14ac:dyDescent="0.2">
      <c r="A7" s="12"/>
      <c r="B7" s="12"/>
      <c r="C7" s="202">
        <f>Z8</f>
        <v>34.67183509451236</v>
      </c>
      <c r="D7" s="203">
        <f>AA8</f>
        <v>27.197182749642522</v>
      </c>
      <c r="E7" s="144"/>
      <c r="F7" s="134">
        <f>IF(Design!$H$22="x",C7,0)</f>
        <v>0</v>
      </c>
      <c r="G7" s="177">
        <f>IF(Design!$H$22="x",D7,0)</f>
        <v>0</v>
      </c>
      <c r="S7" s="9" t="s">
        <v>133</v>
      </c>
      <c r="T7" s="45">
        <f>Guides!C17</f>
        <v>0</v>
      </c>
      <c r="U7" s="45">
        <f>Guides!D17</f>
        <v>29.621673642032889</v>
      </c>
      <c r="V7" s="45">
        <f>Guides!C18</f>
        <v>101.6</v>
      </c>
      <c r="W7" s="45">
        <f>Guides!D18</f>
        <v>22.517109548572233</v>
      </c>
      <c r="X7" s="128">
        <f>(W7-U7)/(V7-T7)</f>
        <v>-6.99268119435104E-2</v>
      </c>
      <c r="Y7" s="128">
        <f>(W7*T7-U7*V7)/(T7-V7)</f>
        <v>29.621673642032889</v>
      </c>
      <c r="Z7" s="12"/>
      <c r="AA7" s="45"/>
      <c r="AB7" s="45"/>
    </row>
    <row r="8" spans="1:28" x14ac:dyDescent="0.2">
      <c r="A8" s="12"/>
      <c r="B8" s="9"/>
      <c r="C8" s="130">
        <f>Panels!C50</f>
        <v>78.495664084834161</v>
      </c>
      <c r="D8" s="131">
        <f>Panels!D50</f>
        <v>24.132722101191728</v>
      </c>
      <c r="E8" s="132"/>
      <c r="F8" s="131">
        <f>IF(Design!$H$22="x",C8,0)</f>
        <v>0</v>
      </c>
      <c r="G8" s="176">
        <f>IF(Design!$H$22="x",D8,0)</f>
        <v>0</v>
      </c>
      <c r="S8" s="9" t="s">
        <v>33</v>
      </c>
      <c r="T8" s="45">
        <f>Panels!C18</f>
        <v>49.727094648871351</v>
      </c>
      <c r="U8" s="45">
        <f>Panels!D18</f>
        <v>82.229942979875347</v>
      </c>
      <c r="V8" s="45">
        <f>Panels!C19</f>
        <v>35.346013425758528</v>
      </c>
      <c r="W8" s="45">
        <f>Panels!D19</f>
        <v>29.66156367392535</v>
      </c>
      <c r="X8" s="128">
        <f>(W8-U8)/(V8-T8)</f>
        <v>3.6553843546522597</v>
      </c>
      <c r="Y8" s="128">
        <f>(W8*T8-U8*V8)/(T8-V8)</f>
        <v>-99.54170080192111</v>
      </c>
      <c r="Z8" s="45">
        <f>(Y7-Y8)/(X8-X7)</f>
        <v>34.67183509451236</v>
      </c>
      <c r="AA8" s="45">
        <f>Z8*X8+Y8</f>
        <v>27.197182749642522</v>
      </c>
      <c r="AB8" s="45">
        <f>(Z8^2+AA8^2)^0.5</f>
        <v>44.066119619709106</v>
      </c>
    </row>
    <row r="9" spans="1:28" x14ac:dyDescent="0.2">
      <c r="A9" s="12"/>
      <c r="B9" s="9"/>
      <c r="C9" s="133">
        <f>C2</f>
        <v>81.547184131932624</v>
      </c>
      <c r="D9" s="134">
        <f>D2</f>
        <v>45.4</v>
      </c>
      <c r="E9" s="135"/>
      <c r="F9" s="134">
        <f>IF(Design!$H$22="x",C9,0)</f>
        <v>0</v>
      </c>
      <c r="G9" s="177">
        <f>IF(Design!$H$22="x",D9,0)</f>
        <v>0</v>
      </c>
    </row>
    <row r="10" spans="1:28" x14ac:dyDescent="0.2">
      <c r="A10" s="12"/>
      <c r="B10" s="9"/>
      <c r="C10" s="149"/>
      <c r="D10" s="150"/>
      <c r="E10" s="150"/>
      <c r="F10" s="145"/>
      <c r="G10" s="178"/>
      <c r="S10" s="9" t="s">
        <v>133</v>
      </c>
      <c r="T10" s="45">
        <f>Guides!C11</f>
        <v>86.695400081846387</v>
      </c>
      <c r="U10" s="45">
        <f>Guides!D11</f>
        <v>81.279999999999973</v>
      </c>
      <c r="V10" s="45">
        <f>Guides!C12</f>
        <v>75.032997840793129</v>
      </c>
      <c r="W10" s="45">
        <f>Guides!D12</f>
        <v>0</v>
      </c>
      <c r="X10" s="128">
        <f>(W10-U10)/(V10-T10)</f>
        <v>6.9694046149328663</v>
      </c>
      <c r="Y10" s="128">
        <f>(W10*T10-U10*V10)/(T10-V10)</f>
        <v>-522.93532142387141</v>
      </c>
      <c r="Z10" s="12"/>
      <c r="AA10" s="45"/>
      <c r="AB10" s="45"/>
    </row>
    <row r="11" spans="1:28" x14ac:dyDescent="0.2">
      <c r="A11" s="12"/>
      <c r="B11" s="9"/>
      <c r="C11" s="130">
        <f>Panels!C38</f>
        <v>53.199501355319427</v>
      </c>
      <c r="D11" s="131">
        <f>Panels!D38</f>
        <v>79.48</v>
      </c>
      <c r="E11" s="132"/>
      <c r="F11" s="131">
        <f>IF(Design!$H$22="x",C11,0)</f>
        <v>0</v>
      </c>
      <c r="G11" s="176">
        <f>IF(Design!$H$22="x",D11,0)</f>
        <v>0</v>
      </c>
      <c r="S11" s="9" t="s">
        <v>37</v>
      </c>
      <c r="T11" s="45">
        <f>Panels!C86</f>
        <v>71.3</v>
      </c>
      <c r="U11" s="45">
        <f>Panels!D86</f>
        <v>47.199999999999996</v>
      </c>
      <c r="V11" s="45">
        <f>Panels!C87</f>
        <v>99.8</v>
      </c>
      <c r="W11" s="45">
        <f>Panels!D87</f>
        <v>47.199999999999996</v>
      </c>
      <c r="X11" s="128">
        <f>(W11-U11)/(V11-T11)</f>
        <v>0</v>
      </c>
      <c r="Y11" s="128">
        <f>(W11*T11-U11*V11)/(T11-V11)</f>
        <v>47.199999999999996</v>
      </c>
      <c r="Z11" s="45">
        <f>(Y10-Y11)/(X11-X10)</f>
        <v>81.805455835105562</v>
      </c>
      <c r="AA11" s="45">
        <f>Z11*X11+Y11</f>
        <v>47.199999999999996</v>
      </c>
      <c r="AB11" s="45">
        <f>(Z11^2+AA11^2)^0.5</f>
        <v>94.445606591251277</v>
      </c>
    </row>
    <row r="12" spans="1:28" x14ac:dyDescent="0.2">
      <c r="A12" s="12"/>
      <c r="B12" s="9">
        <v>2</v>
      </c>
      <c r="C12" s="133">
        <f>Panels!C72</f>
        <v>63.27661190776417</v>
      </c>
      <c r="D12" s="134">
        <f>Panels!D72</f>
        <v>66.451378307460388</v>
      </c>
      <c r="E12" s="135"/>
      <c r="F12" s="134">
        <f>IF(Design!$H$22="x",C12,0)</f>
        <v>0</v>
      </c>
      <c r="G12" s="177">
        <f>IF(Design!$H$22="x",D12,0)</f>
        <v>0</v>
      </c>
      <c r="S12" s="9"/>
      <c r="T12" s="45"/>
      <c r="U12" s="45"/>
      <c r="V12" s="45"/>
      <c r="W12" s="45"/>
      <c r="X12" s="128"/>
      <c r="Y12" s="128"/>
      <c r="Z12" s="12"/>
      <c r="AA12" s="45"/>
      <c r="AB12" s="45"/>
    </row>
    <row r="13" spans="1:28" x14ac:dyDescent="0.2">
      <c r="A13" s="12"/>
      <c r="B13" s="9"/>
      <c r="C13" s="202">
        <f>Panels!C73</f>
        <v>84.225456963220481</v>
      </c>
      <c r="D13" s="146">
        <f>Panels!D73</f>
        <v>64.986492358833758</v>
      </c>
      <c r="E13" s="150"/>
      <c r="F13" s="134">
        <f>IF(Design!$H$22="x",C13,0)</f>
        <v>0</v>
      </c>
      <c r="G13" s="177">
        <f>IF(Design!$H$22="x",D13,0)</f>
        <v>0</v>
      </c>
      <c r="S13" s="9" t="s">
        <v>86</v>
      </c>
      <c r="T13" s="45">
        <f>Panels!C63</f>
        <v>49.791624685064669</v>
      </c>
      <c r="U13" s="45">
        <f>Panels!D63</f>
        <v>27.944299482864629</v>
      </c>
      <c r="V13" s="45">
        <f>Panels!C62</f>
        <v>54.140087880611524</v>
      </c>
      <c r="W13" s="45">
        <f>Panels!D62</f>
        <v>53.119216277471821</v>
      </c>
      <c r="X13" s="128">
        <f>(W13-U13)/(V13-T13)</f>
        <v>5.7893825157329486</v>
      </c>
      <c r="Y13" s="128">
        <f>(W13*T13-U13*V13)/(T13-V13)</f>
        <v>-260.31846189878576</v>
      </c>
      <c r="Z13" s="12"/>
      <c r="AA13" s="45"/>
      <c r="AB13" s="45"/>
    </row>
    <row r="14" spans="1:28" x14ac:dyDescent="0.2">
      <c r="A14" s="12"/>
      <c r="B14" s="9"/>
      <c r="C14" s="130">
        <f>Z11</f>
        <v>81.805455835105562</v>
      </c>
      <c r="D14" s="131">
        <f>AA11</f>
        <v>47.199999999999996</v>
      </c>
      <c r="E14" s="132"/>
      <c r="F14" s="131">
        <f>IF(Design!$H$22="x",C14,0)</f>
        <v>0</v>
      </c>
      <c r="G14" s="176">
        <f>IF(Design!$H$22="x",D14,0)</f>
        <v>0</v>
      </c>
      <c r="S14" s="9" t="s">
        <v>37</v>
      </c>
      <c r="T14" s="45">
        <f>Panels!C48</f>
        <v>35.227189551271238</v>
      </c>
      <c r="U14" s="45">
        <f>Panels!D48</f>
        <v>28.962743999528861</v>
      </c>
      <c r="V14" s="45">
        <f>Panels!C51</f>
        <v>78.621225737573582</v>
      </c>
      <c r="W14" s="45">
        <f>Panels!D51</f>
        <v>25.928337391659412</v>
      </c>
      <c r="X14" s="128">
        <f>(W14-U14)/(V14-T14)</f>
        <v>-6.9926811943510414E-2</v>
      </c>
      <c r="Y14" s="128">
        <f>(W14*T14-U14*V14)/(T14-V14)</f>
        <v>31.426069058578996</v>
      </c>
      <c r="Z14" s="45">
        <f>(Y13-Y14)/(X14-X13)</f>
        <v>49.791624685064654</v>
      </c>
      <c r="AA14" s="45">
        <f>Z14*X14+Y14</f>
        <v>27.944299482864629</v>
      </c>
      <c r="AB14" s="45">
        <f>(Z14^2+AA14^2)^0.5</f>
        <v>57.097195748708785</v>
      </c>
    </row>
    <row r="15" spans="1:28" x14ac:dyDescent="0.2">
      <c r="A15" s="12"/>
      <c r="B15" s="9"/>
      <c r="C15" s="133">
        <f>Panels!C87</f>
        <v>99.8</v>
      </c>
      <c r="D15" s="134">
        <f>Panels!D87</f>
        <v>47.199999999999996</v>
      </c>
      <c r="E15" s="135"/>
      <c r="F15" s="134">
        <f>IF(Design!$H$22="x",C15,0)</f>
        <v>0</v>
      </c>
      <c r="G15" s="177">
        <f>IF(Design!$H$22="x",D15,0)</f>
        <v>0</v>
      </c>
    </row>
    <row r="16" spans="1:28" x14ac:dyDescent="0.2">
      <c r="A16" s="12"/>
      <c r="B16" s="9"/>
      <c r="C16" s="149">
        <f>Panels!C39</f>
        <v>99.8</v>
      </c>
      <c r="D16" s="146">
        <f>Panels!D39</f>
        <v>79.48</v>
      </c>
      <c r="E16" s="150"/>
      <c r="F16" s="134">
        <f>IF(Design!$H$22="x",C16,0)</f>
        <v>0</v>
      </c>
      <c r="G16" s="177">
        <f>IF(Design!$H$22="x",D16,0)</f>
        <v>0</v>
      </c>
      <c r="S16" s="9" t="s">
        <v>87</v>
      </c>
      <c r="T16" s="45">
        <f>V13</f>
        <v>54.140087880611524</v>
      </c>
      <c r="U16" s="45">
        <f>W13</f>
        <v>53.119216277471821</v>
      </c>
      <c r="V16" s="45">
        <f>Panels!C67</f>
        <v>63.27661190776417</v>
      </c>
      <c r="W16" s="45">
        <f>Panels!D67</f>
        <v>66.451378307460388</v>
      </c>
      <c r="X16" s="128">
        <f>(W16-U16)/(V16-T16)</f>
        <v>1.4592159983782662</v>
      </c>
      <c r="Y16" s="128">
        <f>(W16*T16-U16*V16)/(T16-V16)</f>
        <v>-25.882866111521768</v>
      </c>
      <c r="Z16" s="12"/>
      <c r="AA16" s="45"/>
      <c r="AB16" s="45"/>
    </row>
    <row r="17" spans="1:28" x14ac:dyDescent="0.2">
      <c r="A17" s="12"/>
      <c r="B17" s="9"/>
      <c r="C17" s="130">
        <f>C11</f>
        <v>53.199501355319427</v>
      </c>
      <c r="D17" s="131">
        <f>D11</f>
        <v>79.48</v>
      </c>
      <c r="E17" s="132"/>
      <c r="F17" s="131">
        <f>IF(Design!$H$22="x",C17,0)</f>
        <v>0</v>
      </c>
      <c r="G17" s="176">
        <f>IF(Design!$H$22="x",D17,0)</f>
        <v>0</v>
      </c>
      <c r="S17" s="9" t="s">
        <v>36</v>
      </c>
      <c r="T17" s="45">
        <f>Panels!C74</f>
        <v>84.09989531048106</v>
      </c>
      <c r="U17" s="45">
        <f>Panels!D74</f>
        <v>63.190877068366071</v>
      </c>
      <c r="V17" s="45">
        <f>Panels!C75</f>
        <v>63.151050255024757</v>
      </c>
      <c r="W17" s="45">
        <f>Panels!D75</f>
        <v>64.655763016992708</v>
      </c>
      <c r="X17" s="128">
        <f>(W17-U17)/(V17-T17)</f>
        <v>-6.9926811943510733E-2</v>
      </c>
      <c r="Y17" s="128">
        <f>(W17*T17-U17*V17)/(T17-V17)</f>
        <v>69.071714632211012</v>
      </c>
      <c r="Z17" s="45">
        <f>(Y16-Y17)/(X17-X16)</f>
        <v>62.096607395192549</v>
      </c>
      <c r="AA17" s="45">
        <f>Z17*X17+Y17</f>
        <v>64.72949684455736</v>
      </c>
      <c r="AB17" s="45">
        <f>(Z17^2+AA17^2)^0.5</f>
        <v>89.698920906230768</v>
      </c>
    </row>
    <row r="18" spans="1:28" x14ac:dyDescent="0.2">
      <c r="A18" s="12"/>
      <c r="B18" s="9"/>
      <c r="C18" s="133"/>
      <c r="D18" s="134"/>
      <c r="E18" s="135"/>
      <c r="F18" s="134"/>
      <c r="G18" s="177"/>
    </row>
    <row r="19" spans="1:28" x14ac:dyDescent="0.2">
      <c r="A19" s="12"/>
      <c r="B19" s="9"/>
      <c r="C19" s="149"/>
      <c r="D19" s="150"/>
      <c r="E19" s="150"/>
      <c r="F19" s="145"/>
      <c r="G19" s="178"/>
    </row>
    <row r="20" spans="1:28" x14ac:dyDescent="0.2">
      <c r="A20" s="12"/>
      <c r="B20" s="9"/>
      <c r="C20" s="130">
        <f>(Panels!C74+Panels!C75)/2</f>
        <v>73.625472782752908</v>
      </c>
      <c r="D20" s="131">
        <f>(Panels!D74+Panels!D75)/2</f>
        <v>63.923320042679393</v>
      </c>
      <c r="E20" s="132"/>
      <c r="F20" s="131">
        <f>IF(Design!$H$22="x",C20,0)</f>
        <v>0</v>
      </c>
      <c r="G20" s="176">
        <f>IF(Design!$H$22="x",D20,0)</f>
        <v>0</v>
      </c>
    </row>
    <row r="21" spans="1:28" x14ac:dyDescent="0.2">
      <c r="A21" s="12"/>
      <c r="B21" s="9">
        <v>3</v>
      </c>
      <c r="C21" s="133">
        <f>(Z14+V14)/2</f>
        <v>64.206425211319115</v>
      </c>
      <c r="D21" s="134">
        <f>(AA14+W14)/2</f>
        <v>26.93631843726202</v>
      </c>
      <c r="E21" s="135"/>
      <c r="F21" s="134">
        <f>IF(Design!$H$22="x",C21,0)</f>
        <v>0</v>
      </c>
      <c r="G21" s="177">
        <f>IF(Design!$H$22="x",D21,0)</f>
        <v>0</v>
      </c>
    </row>
    <row r="22" spans="1:28" x14ac:dyDescent="0.2">
      <c r="A22" s="12"/>
      <c r="B22" s="9"/>
      <c r="C22" s="202">
        <f>Z14</f>
        <v>49.791624685064654</v>
      </c>
      <c r="D22" s="146">
        <f>AA14</f>
        <v>27.944299482864629</v>
      </c>
      <c r="E22" s="150"/>
      <c r="F22" s="134">
        <f>IF(Design!$H$22="x",C22,0)</f>
        <v>0</v>
      </c>
      <c r="G22" s="177">
        <f>IF(Design!$H$22="x",D22,0)</f>
        <v>0</v>
      </c>
    </row>
    <row r="23" spans="1:28" x14ac:dyDescent="0.2">
      <c r="A23" s="12"/>
      <c r="B23" s="9"/>
      <c r="C23" s="130">
        <f>V13</f>
        <v>54.140087880611524</v>
      </c>
      <c r="D23" s="131">
        <f>W13</f>
        <v>53.119216277471821</v>
      </c>
      <c r="E23" s="132"/>
      <c r="F23" s="131">
        <f>IF(Design!$H$22="x",C23,0)</f>
        <v>0</v>
      </c>
      <c r="G23" s="176">
        <f>IF(Design!$H$22="x",D23,0)</f>
        <v>0</v>
      </c>
    </row>
    <row r="24" spans="1:28" x14ac:dyDescent="0.2">
      <c r="A24" s="12"/>
      <c r="B24" s="9"/>
      <c r="C24" s="133">
        <f>Z17</f>
        <v>62.096607395192549</v>
      </c>
      <c r="D24" s="134">
        <f>AA17</f>
        <v>64.72949684455736</v>
      </c>
      <c r="E24" s="135"/>
      <c r="F24" s="134">
        <f>IF(Design!$H$22="x",C24,0)</f>
        <v>0</v>
      </c>
      <c r="G24" s="177">
        <f>IF(Design!$H$22="x",D24,0)</f>
        <v>0</v>
      </c>
    </row>
    <row r="25" spans="1:28" x14ac:dyDescent="0.2">
      <c r="A25" s="12"/>
      <c r="B25" s="9"/>
      <c r="C25" s="204">
        <f>C20</f>
        <v>73.625472782752908</v>
      </c>
      <c r="D25" s="146">
        <f>D20</f>
        <v>63.923320042679393</v>
      </c>
      <c r="E25" s="150"/>
      <c r="F25" s="134">
        <f>IF(Design!$H$22="x",C25,0)</f>
        <v>0</v>
      </c>
      <c r="G25" s="177">
        <f>IF(Design!$H$22="x",D25,0)</f>
        <v>0</v>
      </c>
    </row>
    <row r="26" spans="1:28" x14ac:dyDescent="0.2">
      <c r="A26" s="12"/>
      <c r="B26" s="9"/>
      <c r="C26" s="130"/>
      <c r="D26" s="131"/>
      <c r="E26" s="132"/>
      <c r="F26" s="131"/>
      <c r="G26" s="176"/>
    </row>
    <row r="27" spans="1:28" x14ac:dyDescent="0.2">
      <c r="A27" s="12"/>
      <c r="B27" s="9"/>
      <c r="C27" s="133"/>
      <c r="D27" s="134"/>
      <c r="E27" s="135"/>
      <c r="F27" s="134"/>
      <c r="G27" s="177"/>
    </row>
    <row r="28" spans="1:28" x14ac:dyDescent="0.2">
      <c r="A28" s="12"/>
      <c r="B28" s="9"/>
      <c r="C28" s="149"/>
      <c r="D28" s="150"/>
      <c r="E28" s="150"/>
      <c r="F28" s="145"/>
      <c r="G28" s="178"/>
    </row>
  </sheetData>
  <sheetProtection sheet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Design</vt:lpstr>
      <vt:lpstr>Panels</vt:lpstr>
      <vt:lpstr>Path</vt:lpstr>
      <vt:lpstr>Guides</vt:lpstr>
      <vt:lpstr>Layout</vt:lpstr>
      <vt:lpstr>Instructions</vt:lpstr>
      <vt:lpstr>Bracing</vt:lpstr>
    </vt:vector>
  </TitlesOfParts>
  <Company>B&amp;G 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Steele</dc:creator>
  <cp:lastModifiedBy>Brian.Steele</cp:lastModifiedBy>
  <cp:lastPrinted>2015-04-15T19:12:03Z</cp:lastPrinted>
  <dcterms:created xsi:type="dcterms:W3CDTF">2010-07-12T00:49:36Z</dcterms:created>
  <dcterms:modified xsi:type="dcterms:W3CDTF">2017-09-18T23:03:48Z</dcterms:modified>
</cp:coreProperties>
</file>