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126" codeName="{22E68647-3C60-695B-3CA0-4895CD717B8A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I:\Users\Brian.Steele\OneDrive\diyaudio\boxplan\"/>
    </mc:Choice>
  </mc:AlternateContent>
  <xr:revisionPtr revIDLastSave="263" documentId="8_{88A0F9A2-1A7E-4250-B171-80550F39D866}" xr6:coauthVersionLast="40" xr6:coauthVersionMax="40" xr10:uidLastSave="{21A73261-BEFC-444F-AA78-2DF96198BA8D}"/>
  <bookViews>
    <workbookView xWindow="240" yWindow="45" windowWidth="11655" windowHeight="5490" xr2:uid="{00000000-000D-0000-FFFF-FFFF00000000}"/>
  </bookViews>
  <sheets>
    <sheet name="TH" sheetId="6" r:id="rId1"/>
    <sheet name="Guides" sheetId="9" r:id="rId2"/>
    <sheet name="Panels" sheetId="7" r:id="rId3"/>
    <sheet name="Path" sheetId="8" r:id="rId4"/>
  </sheets>
  <definedNames>
    <definedName name="Amin">#REF!</definedName>
    <definedName name="Angle">TH!$F$31</definedName>
    <definedName name="Angle_err">TH!$G$31</definedName>
    <definedName name="Ax">#REF!</definedName>
    <definedName name="Bx">#REF!</definedName>
    <definedName name="C_1x">#REF!</definedName>
    <definedName name="Cx">#REF!</definedName>
    <definedName name="D">#REF!</definedName>
    <definedName name="Delta">#REF!</definedName>
    <definedName name="dX">#REF!</definedName>
    <definedName name="dY">#REF!</definedName>
    <definedName name="Filename">TH!$D$57</definedName>
    <definedName name="H">#REF!</definedName>
    <definedName name="ID">TH!$D$59</definedName>
    <definedName name="p">#REF!</definedName>
    <definedName name="Panel_A">TH!$F$33</definedName>
    <definedName name="PanelA">TH!$F$33</definedName>
    <definedName name="PanelA_err">TH!$G$33</definedName>
    <definedName name="PanelE">TH!$F$37</definedName>
    <definedName name="PanelE_err">TH!$G$37</definedName>
    <definedName name="PanelE2">TH!$F$38</definedName>
    <definedName name="PanelE2_err">TH!$G$38</definedName>
    <definedName name="Total_Err">TH!$K$27</definedName>
    <definedName name="W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1" i="6" l="1"/>
  <c r="D12" i="6"/>
  <c r="D13" i="6"/>
  <c r="D92" i="6" l="1"/>
  <c r="D66" i="6"/>
  <c r="D64" i="6"/>
  <c r="J64" i="6" s="1"/>
  <c r="J96" i="6"/>
  <c r="J95" i="6"/>
  <c r="J94" i="6"/>
  <c r="D93" i="6"/>
  <c r="J93" i="6" s="1"/>
  <c r="J92" i="6"/>
  <c r="J91" i="6"/>
  <c r="J90" i="6"/>
  <c r="J89" i="6"/>
  <c r="J88" i="6"/>
  <c r="J87" i="6"/>
  <c r="J86" i="6"/>
  <c r="J85" i="6"/>
  <c r="J84" i="6"/>
  <c r="J83" i="6"/>
  <c r="J82" i="6"/>
  <c r="J81" i="6"/>
  <c r="J80" i="6"/>
  <c r="J79" i="6"/>
  <c r="J78" i="6"/>
  <c r="J77" i="6"/>
  <c r="D77" i="6"/>
  <c r="J75" i="6"/>
  <c r="J71" i="6"/>
  <c r="J67" i="6"/>
  <c r="J63" i="6"/>
  <c r="J62" i="6"/>
  <c r="J61" i="6"/>
  <c r="J60" i="6"/>
  <c r="J59" i="6"/>
  <c r="D44" i="6"/>
  <c r="J66" i="6" l="1"/>
  <c r="B42" i="8" l="1"/>
  <c r="B45" i="8" s="1"/>
  <c r="B48" i="8" s="1"/>
  <c r="B51" i="8" s="1"/>
  <c r="B54" i="8" s="1"/>
  <c r="B57" i="8" s="1"/>
  <c r="B60" i="8" s="1"/>
  <c r="B63" i="8" s="1"/>
  <c r="B66" i="8" s="1"/>
  <c r="B69" i="8" s="1"/>
  <c r="B72" i="8" s="1"/>
  <c r="D6" i="6" l="1"/>
  <c r="D7" i="8" l="1"/>
  <c r="D15" i="9" l="1"/>
  <c r="G15" i="9" s="1"/>
  <c r="C26" i="9"/>
  <c r="C29" i="9"/>
  <c r="J12" i="9"/>
  <c r="J15" i="9" s="1"/>
  <c r="A36" i="7"/>
  <c r="J6" i="9" s="1"/>
  <c r="J9" i="9" s="1"/>
  <c r="B37" i="6"/>
  <c r="B35" i="6"/>
  <c r="B34" i="6"/>
  <c r="A30" i="7"/>
  <c r="A18" i="7"/>
  <c r="J11" i="9" s="1"/>
  <c r="J14" i="9" s="1"/>
  <c r="A24" i="7"/>
  <c r="J5" i="9" s="1"/>
  <c r="J8" i="9" s="1"/>
  <c r="B36" i="6"/>
  <c r="B33" i="6"/>
  <c r="A12" i="7"/>
  <c r="A6" i="7"/>
  <c r="X21" i="8"/>
  <c r="X23" i="8" s="1"/>
  <c r="X35" i="8" s="1"/>
  <c r="B30" i="8"/>
  <c r="B33" i="8" s="1"/>
  <c r="B36" i="8" s="1"/>
  <c r="B39" i="8" s="1"/>
  <c r="E24" i="8"/>
  <c r="E23" i="8"/>
  <c r="E22" i="8"/>
  <c r="E20" i="8"/>
  <c r="E19" i="8"/>
  <c r="E18" i="8"/>
  <c r="M29" i="8"/>
  <c r="M30" i="8" s="1"/>
  <c r="N28" i="8"/>
  <c r="N29" i="8" s="1"/>
  <c r="N30" i="8" s="1"/>
  <c r="F15" i="6"/>
  <c r="F8" i="6"/>
  <c r="F7" i="6"/>
  <c r="F6" i="6"/>
  <c r="F5" i="6"/>
  <c r="F4" i="6"/>
  <c r="F13" i="6"/>
  <c r="F11" i="6"/>
  <c r="R35" i="7"/>
  <c r="R34" i="7"/>
  <c r="R32" i="7"/>
  <c r="R31" i="7"/>
  <c r="R30" i="7"/>
  <c r="R29" i="7"/>
  <c r="R28" i="7"/>
  <c r="R27" i="7"/>
  <c r="R25" i="7"/>
  <c r="R24" i="7"/>
  <c r="R23" i="7"/>
  <c r="R22" i="7"/>
  <c r="R21" i="7"/>
  <c r="R20" i="7"/>
  <c r="S12" i="7"/>
  <c r="S11" i="7"/>
  <c r="S10" i="7"/>
  <c r="S8" i="7"/>
  <c r="S7" i="7"/>
  <c r="S6" i="7"/>
  <c r="D20" i="7"/>
  <c r="C19" i="7"/>
  <c r="C24" i="7" s="1"/>
  <c r="D18" i="7"/>
  <c r="D30" i="7" s="1"/>
  <c r="G30" i="7" s="1"/>
  <c r="C18" i="7"/>
  <c r="E3" i="8" l="1"/>
  <c r="C22" i="9"/>
  <c r="C23" i="9" s="1"/>
  <c r="D9" i="8"/>
  <c r="E33" i="6"/>
  <c r="E37" i="6" s="1"/>
  <c r="D30" i="6"/>
  <c r="F30" i="6" s="1"/>
  <c r="F12" i="6"/>
  <c r="N11" i="9"/>
  <c r="N8" i="9"/>
  <c r="L8" i="9"/>
  <c r="K11" i="9"/>
  <c r="Q12" i="9" s="1"/>
  <c r="C9" i="9"/>
  <c r="F9" i="9" s="1"/>
  <c r="F19" i="7"/>
  <c r="I19" i="7"/>
  <c r="C20" i="7"/>
  <c r="D19" i="7"/>
  <c r="G18" i="7"/>
  <c r="G20" i="7"/>
  <c r="D22" i="7"/>
  <c r="F18" i="7"/>
  <c r="D21" i="7"/>
  <c r="D24" i="7"/>
  <c r="C21" i="7"/>
  <c r="K14" i="9" s="1"/>
  <c r="Q15" i="9" s="1"/>
  <c r="C22" i="7"/>
  <c r="C12" i="7"/>
  <c r="C36" i="7" s="1"/>
  <c r="Y56" i="8" s="1"/>
  <c r="C30" i="7"/>
  <c r="F24" i="7"/>
  <c r="C28" i="7"/>
  <c r="F28" i="7" s="1"/>
  <c r="C27" i="7"/>
  <c r="C6" i="7"/>
  <c r="C25" i="7"/>
  <c r="D31" i="7"/>
  <c r="G31" i="7" s="1"/>
  <c r="L11" i="9" l="1"/>
  <c r="D16" i="9"/>
  <c r="H17" i="8"/>
  <c r="F30" i="7"/>
  <c r="K8" i="9"/>
  <c r="F22" i="7"/>
  <c r="M14" i="9"/>
  <c r="F27" i="7"/>
  <c r="M5" i="9"/>
  <c r="G21" i="7"/>
  <c r="L14" i="9"/>
  <c r="G22" i="7"/>
  <c r="N14" i="9"/>
  <c r="F21" i="7"/>
  <c r="C10" i="9"/>
  <c r="F10" i="9" s="1"/>
  <c r="G19" i="7"/>
  <c r="G16" i="9"/>
  <c r="D36" i="7"/>
  <c r="D40" i="7" s="1"/>
  <c r="G40" i="7" s="1"/>
  <c r="F12" i="7"/>
  <c r="F20" i="7"/>
  <c r="J20" i="7"/>
  <c r="I20" i="7"/>
  <c r="J22" i="7"/>
  <c r="J19" i="7"/>
  <c r="K19" i="7" s="1"/>
  <c r="E34" i="6" s="1"/>
  <c r="I28" i="7"/>
  <c r="C13" i="7"/>
  <c r="C27" i="8" s="1"/>
  <c r="C30" i="8" s="1"/>
  <c r="C33" i="8" s="1"/>
  <c r="C36" i="8" s="1"/>
  <c r="I22" i="7"/>
  <c r="I21" i="7"/>
  <c r="C16" i="7"/>
  <c r="F16" i="7" s="1"/>
  <c r="D28" i="7"/>
  <c r="G28" i="7" s="1"/>
  <c r="G24" i="7"/>
  <c r="D63" i="8"/>
  <c r="G63" i="8" s="1"/>
  <c r="D25" i="7"/>
  <c r="J21" i="7"/>
  <c r="C31" i="7"/>
  <c r="F25" i="7"/>
  <c r="F6" i="7"/>
  <c r="C7" i="7"/>
  <c r="C71" i="8" s="1"/>
  <c r="C10" i="7"/>
  <c r="F10" i="7" s="1"/>
  <c r="D34" i="7"/>
  <c r="G34" i="7" s="1"/>
  <c r="D32" i="7"/>
  <c r="J31" i="7"/>
  <c r="E35" i="6"/>
  <c r="I37" i="6"/>
  <c r="E36" i="6"/>
  <c r="C33" i="7"/>
  <c r="T16" i="7" l="1"/>
  <c r="Z56" i="8"/>
  <c r="D37" i="7"/>
  <c r="AB56" i="8" s="1"/>
  <c r="D26" i="8"/>
  <c r="G26" i="8" s="1"/>
  <c r="Z35" i="8"/>
  <c r="F31" i="7"/>
  <c r="M8" i="9"/>
  <c r="O8" i="9" s="1"/>
  <c r="G36" i="7"/>
  <c r="L6" i="9"/>
  <c r="L9" i="9" s="1"/>
  <c r="F33" i="7"/>
  <c r="M11" i="9"/>
  <c r="F36" i="7"/>
  <c r="K6" i="9"/>
  <c r="K9" i="9" s="1"/>
  <c r="G32" i="7"/>
  <c r="D9" i="9"/>
  <c r="K20" i="7"/>
  <c r="F34" i="6" s="1"/>
  <c r="I34" i="6" s="1"/>
  <c r="F13" i="7"/>
  <c r="K22" i="7"/>
  <c r="C14" i="7"/>
  <c r="I7" i="7"/>
  <c r="I13" i="7"/>
  <c r="K21" i="7"/>
  <c r="Y35" i="8"/>
  <c r="F71" i="8"/>
  <c r="C72" i="8"/>
  <c r="F72" i="8" s="1"/>
  <c r="G25" i="7"/>
  <c r="D26" i="7"/>
  <c r="D13" i="7"/>
  <c r="J25" i="7"/>
  <c r="I31" i="7"/>
  <c r="K31" i="7" s="1"/>
  <c r="C32" i="7"/>
  <c r="F7" i="7"/>
  <c r="C8" i="7"/>
  <c r="C37" i="7"/>
  <c r="D12" i="7"/>
  <c r="D42" i="8" s="1"/>
  <c r="D6" i="7"/>
  <c r="D7" i="7" s="1"/>
  <c r="D33" i="7"/>
  <c r="J32" i="7"/>
  <c r="C34" i="7"/>
  <c r="F34" i="7" s="1"/>
  <c r="C26" i="7"/>
  <c r="K5" i="9" s="1"/>
  <c r="I25" i="7"/>
  <c r="C44" i="8" l="1"/>
  <c r="F44" i="8" s="1"/>
  <c r="AA56" i="8"/>
  <c r="AD56" i="8" s="1"/>
  <c r="N6" i="9"/>
  <c r="N9" i="9" s="1"/>
  <c r="D44" i="8"/>
  <c r="G42" i="8"/>
  <c r="D45" i="8"/>
  <c r="G45" i="8" s="1"/>
  <c r="D38" i="7"/>
  <c r="J37" i="7"/>
  <c r="T15" i="7"/>
  <c r="V16" i="7" s="1"/>
  <c r="AB35" i="8"/>
  <c r="G37" i="7"/>
  <c r="P8" i="9"/>
  <c r="J26" i="7"/>
  <c r="L5" i="9"/>
  <c r="F37" i="7"/>
  <c r="M6" i="9"/>
  <c r="M9" i="9" s="1"/>
  <c r="G9" i="9"/>
  <c r="D10" i="9"/>
  <c r="G10" i="9" s="1"/>
  <c r="G13" i="7"/>
  <c r="G12" i="7"/>
  <c r="I33" i="7"/>
  <c r="F32" i="7"/>
  <c r="J33" i="7"/>
  <c r="G33" i="7"/>
  <c r="K25" i="7"/>
  <c r="F35" i="6" s="1"/>
  <c r="I35" i="6" s="1"/>
  <c r="C15" i="7"/>
  <c r="F15" i="7" s="1"/>
  <c r="F14" i="7"/>
  <c r="I14" i="7"/>
  <c r="AA35" i="8"/>
  <c r="Y36" i="8"/>
  <c r="AA36" i="8" s="1"/>
  <c r="C51" i="8"/>
  <c r="C56" i="8"/>
  <c r="Y57" i="8" s="1"/>
  <c r="AA57" i="8" s="1"/>
  <c r="I8" i="7"/>
  <c r="G26" i="7"/>
  <c r="D27" i="7"/>
  <c r="D14" i="7"/>
  <c r="G14" i="7" s="1"/>
  <c r="H71" i="8"/>
  <c r="J71" i="8" s="1"/>
  <c r="J72" i="8" s="1"/>
  <c r="J73" i="8" s="1"/>
  <c r="I32" i="7"/>
  <c r="K32" i="7" s="1"/>
  <c r="F8" i="7"/>
  <c r="C9" i="7"/>
  <c r="G6" i="7"/>
  <c r="D10" i="7"/>
  <c r="G10" i="7" s="1"/>
  <c r="D9" i="7"/>
  <c r="J13" i="7"/>
  <c r="K13" i="7" s="1"/>
  <c r="D15" i="7"/>
  <c r="G15" i="7" s="1"/>
  <c r="D16" i="7"/>
  <c r="I27" i="7"/>
  <c r="F26" i="7"/>
  <c r="J34" i="7"/>
  <c r="I26" i="7"/>
  <c r="I34" i="7"/>
  <c r="AC56" i="8" l="1"/>
  <c r="D41" i="8"/>
  <c r="I41" i="8" s="1"/>
  <c r="K41" i="8" s="1"/>
  <c r="D32" i="8"/>
  <c r="G32" i="8" s="1"/>
  <c r="AB21" i="8"/>
  <c r="AB23" i="8" s="1"/>
  <c r="C45" i="8"/>
  <c r="O46" i="8" s="1"/>
  <c r="P46" i="8" s="1"/>
  <c r="Q46" i="8" s="1"/>
  <c r="N12" i="9"/>
  <c r="D39" i="7"/>
  <c r="J39" i="7" s="1"/>
  <c r="J38" i="7"/>
  <c r="G38" i="7"/>
  <c r="P9" i="9"/>
  <c r="G16" i="7"/>
  <c r="D39" i="8"/>
  <c r="G39" i="8" s="1"/>
  <c r="G44" i="8"/>
  <c r="I44" i="8"/>
  <c r="K44" i="8" s="1"/>
  <c r="K45" i="8" s="1"/>
  <c r="K46" i="8" s="1"/>
  <c r="U46" i="8" s="1"/>
  <c r="K26" i="7"/>
  <c r="D47" i="8"/>
  <c r="G47" i="8" s="1"/>
  <c r="O9" i="9"/>
  <c r="O6" i="9"/>
  <c r="P6" i="9"/>
  <c r="J27" i="7"/>
  <c r="K27" i="7" s="1"/>
  <c r="N5" i="9"/>
  <c r="I16" i="7"/>
  <c r="K33" i="7"/>
  <c r="I15" i="7"/>
  <c r="F36" i="6"/>
  <c r="I36" i="6" s="1"/>
  <c r="J14" i="7"/>
  <c r="K14" i="7" s="1"/>
  <c r="C59" i="8"/>
  <c r="F56" i="8"/>
  <c r="F51" i="8"/>
  <c r="J28" i="7"/>
  <c r="K28" i="7" s="1"/>
  <c r="G27" i="7"/>
  <c r="AC35" i="8"/>
  <c r="AD35" i="8"/>
  <c r="C47" i="8"/>
  <c r="J16" i="7"/>
  <c r="J15" i="7"/>
  <c r="F9" i="7"/>
  <c r="I10" i="7"/>
  <c r="J10" i="7"/>
  <c r="G9" i="7"/>
  <c r="I9" i="7"/>
  <c r="K34" i="7"/>
  <c r="G41" i="8" l="1"/>
  <c r="J40" i="7"/>
  <c r="G39" i="7"/>
  <c r="D35" i="8"/>
  <c r="D38" i="8" s="1"/>
  <c r="Z24" i="8"/>
  <c r="Z21" i="8"/>
  <c r="Z23" i="8" s="1"/>
  <c r="U44" i="8"/>
  <c r="Q9" i="9"/>
  <c r="R9" i="9" s="1"/>
  <c r="D4" i="9" s="1"/>
  <c r="G4" i="9" s="1"/>
  <c r="F45" i="8"/>
  <c r="H44" i="8"/>
  <c r="J44" i="8" s="1"/>
  <c r="J45" i="8" s="1"/>
  <c r="J46" i="8" s="1"/>
  <c r="U45" i="8"/>
  <c r="U41" i="8"/>
  <c r="K42" i="8"/>
  <c r="D50" i="8"/>
  <c r="D53" i="8" s="1"/>
  <c r="O5" i="9"/>
  <c r="P5" i="9"/>
  <c r="N15" i="9"/>
  <c r="K16" i="7"/>
  <c r="K15" i="7"/>
  <c r="F47" i="8"/>
  <c r="C50" i="8"/>
  <c r="C48" i="8"/>
  <c r="F48" i="8" s="1"/>
  <c r="K10" i="7"/>
  <c r="F59" i="8"/>
  <c r="C62" i="8"/>
  <c r="D66" i="8"/>
  <c r="G35" i="8" l="1"/>
  <c r="AB24" i="8"/>
  <c r="C4" i="9"/>
  <c r="F4" i="9" s="1"/>
  <c r="U42" i="8"/>
  <c r="K43" i="8"/>
  <c r="U43" i="8" s="1"/>
  <c r="I38" i="8"/>
  <c r="K38" i="8" s="1"/>
  <c r="G38" i="8"/>
  <c r="G50" i="8"/>
  <c r="Q6" i="9"/>
  <c r="R6" i="9" s="1"/>
  <c r="D3" i="9" s="1"/>
  <c r="G3" i="9" s="1"/>
  <c r="H47" i="8"/>
  <c r="J47" i="8" s="1"/>
  <c r="J48" i="8" s="1"/>
  <c r="J49" i="8" s="1"/>
  <c r="H50" i="8"/>
  <c r="J50" i="8" s="1"/>
  <c r="J51" i="8" s="1"/>
  <c r="J52" i="8" s="1"/>
  <c r="F50" i="8"/>
  <c r="C53" i="8"/>
  <c r="F53" i="8" s="1"/>
  <c r="D54" i="8"/>
  <c r="G54" i="8" s="1"/>
  <c r="C65" i="8"/>
  <c r="F62" i="8"/>
  <c r="D48" i="8"/>
  <c r="G66" i="8"/>
  <c r="D69" i="8"/>
  <c r="U38" i="8" l="1"/>
  <c r="K39" i="8"/>
  <c r="C3" i="9"/>
  <c r="F3" i="9" s="1"/>
  <c r="F65" i="8"/>
  <c r="C68" i="8"/>
  <c r="G69" i="8"/>
  <c r="D72" i="8"/>
  <c r="G48" i="8"/>
  <c r="D51" i="8"/>
  <c r="I47" i="8"/>
  <c r="K47" i="8" s="1"/>
  <c r="L12" i="9" l="1"/>
  <c r="L15" i="9" s="1"/>
  <c r="K40" i="8"/>
  <c r="U40" i="8" s="1"/>
  <c r="U39" i="8"/>
  <c r="C69" i="8"/>
  <c r="F69" i="8" s="1"/>
  <c r="F68" i="8"/>
  <c r="K48" i="8"/>
  <c r="U47" i="8"/>
  <c r="G51" i="8"/>
  <c r="I50" i="8"/>
  <c r="K50" i="8" s="1"/>
  <c r="G72" i="8"/>
  <c r="H68" i="8" l="1"/>
  <c r="J68" i="8" s="1"/>
  <c r="J69" i="8" s="1"/>
  <c r="J70" i="8" s="1"/>
  <c r="U50" i="8"/>
  <c r="K51" i="8"/>
  <c r="U48" i="8"/>
  <c r="K49" i="8"/>
  <c r="U49" i="8" s="1"/>
  <c r="U51" i="8" l="1"/>
  <c r="K52" i="8"/>
  <c r="U52" i="8" s="1"/>
  <c r="I37" i="7" l="1"/>
  <c r="K37" i="7" s="1"/>
  <c r="S16" i="7"/>
  <c r="C40" i="7"/>
  <c r="F40" i="7" s="1"/>
  <c r="S15" i="7" l="1"/>
  <c r="L36" i="7"/>
  <c r="M36" i="7" s="1"/>
  <c r="C38" i="7"/>
  <c r="C41" i="8" l="1"/>
  <c r="C32" i="8"/>
  <c r="D33" i="8" s="1"/>
  <c r="D36" i="8" s="1"/>
  <c r="AA21" i="8"/>
  <c r="AA23" i="8" s="1"/>
  <c r="F38" i="7"/>
  <c r="C39" i="7"/>
  <c r="I38" i="7"/>
  <c r="K38" i="7" s="1"/>
  <c r="U16" i="7"/>
  <c r="X16" i="7" s="1"/>
  <c r="S18" i="7" s="1"/>
  <c r="L37" i="7"/>
  <c r="M37" i="7" s="1"/>
  <c r="F41" i="8" l="1"/>
  <c r="C42" i="8"/>
  <c r="H41" i="8" s="1"/>
  <c r="F39" i="7"/>
  <c r="Y21" i="8"/>
  <c r="Y23" i="8" s="1"/>
  <c r="C26" i="8"/>
  <c r="I39" i="7"/>
  <c r="K39" i="7" s="1"/>
  <c r="L39" i="7"/>
  <c r="M39" i="7" s="1"/>
  <c r="I40" i="7"/>
  <c r="K40" i="7" s="1"/>
  <c r="L38" i="7"/>
  <c r="M12" i="9"/>
  <c r="W16" i="7"/>
  <c r="F26" i="8" l="1"/>
  <c r="D27" i="8"/>
  <c r="J41" i="8"/>
  <c r="J42" i="8" s="1"/>
  <c r="J43" i="8" s="1"/>
  <c r="M46" i="8"/>
  <c r="F42" i="8"/>
  <c r="C39" i="8"/>
  <c r="F39" i="8" s="1"/>
  <c r="O43" i="8"/>
  <c r="M15" i="9"/>
  <c r="T18" i="7"/>
  <c r="T21" i="7" s="1"/>
  <c r="T25" i="7" s="1"/>
  <c r="S21" i="7"/>
  <c r="S20" i="7" s="1"/>
  <c r="AD21" i="8"/>
  <c r="AD23" i="8" s="1"/>
  <c r="AC21" i="8"/>
  <c r="AC23" i="8" s="1"/>
  <c r="M38" i="7"/>
  <c r="K12" i="9"/>
  <c r="G27" i="8" l="1"/>
  <c r="I26" i="8"/>
  <c r="K26" i="8" s="1"/>
  <c r="P43" i="8"/>
  <c r="Q43" i="8" s="1"/>
  <c r="O44" i="8"/>
  <c r="F15" i="9"/>
  <c r="K15" i="9"/>
  <c r="P15" i="9" s="1"/>
  <c r="P12" i="9"/>
  <c r="O12" i="9"/>
  <c r="S25" i="7"/>
  <c r="U25" i="7" s="1"/>
  <c r="U20" i="7"/>
  <c r="F27" i="8"/>
  <c r="O28" i="8"/>
  <c r="H26" i="8"/>
  <c r="J26" i="8" s="1"/>
  <c r="J27" i="8" s="1"/>
  <c r="J28" i="8" s="1"/>
  <c r="P26" i="8"/>
  <c r="S22" i="7"/>
  <c r="Y20" i="8" s="1"/>
  <c r="T22" i="7"/>
  <c r="Z20" i="8" s="1"/>
  <c r="V21" i="7"/>
  <c r="V25" i="7"/>
  <c r="T20" i="7"/>
  <c r="V20" i="7" s="1"/>
  <c r="T28" i="7"/>
  <c r="AB20" i="8" s="1"/>
  <c r="S28" i="7"/>
  <c r="U21" i="7"/>
  <c r="D3" i="8" l="1"/>
  <c r="H3" i="8" s="1"/>
  <c r="G38" i="6" s="1"/>
  <c r="U26" i="8"/>
  <c r="K27" i="8"/>
  <c r="O45" i="8"/>
  <c r="P45" i="8" s="1"/>
  <c r="Q45" i="8" s="1"/>
  <c r="P44" i="8"/>
  <c r="Q44" i="8" s="1"/>
  <c r="O15" i="9"/>
  <c r="R15" i="9" s="1"/>
  <c r="AA20" i="8"/>
  <c r="AD20" i="8" s="1"/>
  <c r="R12" i="9"/>
  <c r="Y24" i="8"/>
  <c r="F32" i="8"/>
  <c r="C35" i="8"/>
  <c r="O29" i="8"/>
  <c r="P28" i="8"/>
  <c r="Q28" i="8" s="1"/>
  <c r="O49" i="8"/>
  <c r="T32" i="7"/>
  <c r="V32" i="7" s="1"/>
  <c r="T27" i="7"/>
  <c r="V27" i="7" s="1"/>
  <c r="S32" i="7"/>
  <c r="U32" i="7" s="1"/>
  <c r="S27" i="7"/>
  <c r="U27" i="7" s="1"/>
  <c r="U28" i="7"/>
  <c r="V28" i="7"/>
  <c r="U22" i="7"/>
  <c r="S29" i="7"/>
  <c r="S23" i="7"/>
  <c r="S24" i="7" s="1"/>
  <c r="T23" i="7"/>
  <c r="T24" i="7" s="1"/>
  <c r="V22" i="7"/>
  <c r="T29" i="7"/>
  <c r="D8" i="8" l="1"/>
  <c r="R26" i="8"/>
  <c r="K28" i="8"/>
  <c r="U28" i="8" s="1"/>
  <c r="U27" i="8"/>
  <c r="F35" i="8"/>
  <c r="C38" i="8"/>
  <c r="AC20" i="8"/>
  <c r="AE21" i="8" s="1"/>
  <c r="AA24" i="8"/>
  <c r="AC24" i="8" s="1"/>
  <c r="O30" i="8"/>
  <c r="P29" i="8"/>
  <c r="Q29" i="8" s="1"/>
  <c r="C54" i="8"/>
  <c r="O50" i="8"/>
  <c r="P49" i="8"/>
  <c r="O52" i="8"/>
  <c r="M52" i="8"/>
  <c r="M53" i="8" s="1"/>
  <c r="M54" i="8" s="1"/>
  <c r="S30" i="7"/>
  <c r="S31" i="7" s="1"/>
  <c r="T30" i="7"/>
  <c r="T31" i="7" s="1"/>
  <c r="U29" i="7"/>
  <c r="V23" i="7"/>
  <c r="V29" i="7"/>
  <c r="U23" i="7"/>
  <c r="P30" i="8" l="1"/>
  <c r="Q30" i="8" s="1"/>
  <c r="O40" i="8"/>
  <c r="H38" i="8"/>
  <c r="M43" i="8" s="1"/>
  <c r="M44" i="8" s="1"/>
  <c r="M45" i="8" s="1"/>
  <c r="F38" i="8"/>
  <c r="F54" i="8"/>
  <c r="H53" i="8"/>
  <c r="J53" i="8" s="1"/>
  <c r="J54" i="8" s="1"/>
  <c r="J55" i="8" s="1"/>
  <c r="AD24" i="8"/>
  <c r="AE24" i="8" s="1"/>
  <c r="C29" i="8"/>
  <c r="F29" i="8" s="1"/>
  <c r="AF21" i="8"/>
  <c r="F30" i="8"/>
  <c r="Q49" i="8"/>
  <c r="O53" i="8"/>
  <c r="P52" i="8"/>
  <c r="P50" i="8"/>
  <c r="O51" i="8"/>
  <c r="P51" i="8" s="1"/>
  <c r="S35" i="7"/>
  <c r="U35" i="7" s="1"/>
  <c r="U24" i="7"/>
  <c r="T35" i="7"/>
  <c r="V35" i="7" s="1"/>
  <c r="V24" i="7"/>
  <c r="U30" i="7"/>
  <c r="V30" i="7"/>
  <c r="C15" i="9" l="1"/>
  <c r="C16" i="9" s="1"/>
  <c r="F16" i="9" s="1"/>
  <c r="P40" i="8"/>
  <c r="Q40" i="8" s="1"/>
  <c r="O41" i="8"/>
  <c r="J38" i="8"/>
  <c r="J39" i="8" s="1"/>
  <c r="J40" i="8" s="1"/>
  <c r="AF24" i="8"/>
  <c r="I32" i="8" s="1"/>
  <c r="K32" i="8" s="1"/>
  <c r="D29" i="8"/>
  <c r="Q51" i="8"/>
  <c r="Q50" i="8"/>
  <c r="Q52" i="8"/>
  <c r="P53" i="8"/>
  <c r="O54" i="8"/>
  <c r="P54" i="8" s="1"/>
  <c r="H29" i="8"/>
  <c r="J29" i="8" s="1"/>
  <c r="J30" i="8" s="1"/>
  <c r="J31" i="8" s="1"/>
  <c r="T34" i="7"/>
  <c r="V34" i="7" s="1"/>
  <c r="V31" i="7"/>
  <c r="U31" i="7"/>
  <c r="S34" i="7"/>
  <c r="U34" i="7" s="1"/>
  <c r="P41" i="8" l="1"/>
  <c r="Q41" i="8" s="1"/>
  <c r="O42" i="8"/>
  <c r="P42" i="8" s="1"/>
  <c r="Q42" i="8" s="1"/>
  <c r="K33" i="8"/>
  <c r="U32" i="8"/>
  <c r="G33" i="8"/>
  <c r="F33" i="8"/>
  <c r="D30" i="8"/>
  <c r="G29" i="8"/>
  <c r="Q54" i="8"/>
  <c r="Q53" i="8"/>
  <c r="O37" i="8" l="1"/>
  <c r="O38" i="8" s="1"/>
  <c r="I53" i="8"/>
  <c r="K53" i="8" s="1"/>
  <c r="G53" i="8"/>
  <c r="F36" i="8"/>
  <c r="H35" i="8"/>
  <c r="G36" i="8"/>
  <c r="I35" i="8"/>
  <c r="K35" i="8" s="1"/>
  <c r="K34" i="8"/>
  <c r="U34" i="8" s="1"/>
  <c r="U33" i="8"/>
  <c r="O31" i="8"/>
  <c r="I29" i="8"/>
  <c r="K29" i="8" s="1"/>
  <c r="G30" i="8"/>
  <c r="M49" i="8"/>
  <c r="M50" i="8" s="1"/>
  <c r="M51" i="8" s="1"/>
  <c r="O55" i="8"/>
  <c r="D4" i="8" l="1"/>
  <c r="M40" i="8"/>
  <c r="M41" i="8" s="1"/>
  <c r="M42" i="8" s="1"/>
  <c r="O39" i="8"/>
  <c r="P39" i="8" s="1"/>
  <c r="P38" i="8"/>
  <c r="J35" i="8"/>
  <c r="J36" i="8" s="1"/>
  <c r="J37" i="8" s="1"/>
  <c r="M55" i="8"/>
  <c r="M56" i="8" s="1"/>
  <c r="M57" i="8" s="1"/>
  <c r="U53" i="8"/>
  <c r="K54" i="8"/>
  <c r="K36" i="8"/>
  <c r="U35" i="8"/>
  <c r="K30" i="8"/>
  <c r="U29" i="8"/>
  <c r="P37" i="8"/>
  <c r="Q37" i="8" s="1"/>
  <c r="M31" i="8"/>
  <c r="O32" i="8"/>
  <c r="P31" i="8"/>
  <c r="Q31" i="8" s="1"/>
  <c r="O56" i="8"/>
  <c r="P55" i="8"/>
  <c r="Q55" i="8" s="1"/>
  <c r="D19" i="6" l="1"/>
  <c r="Q38" i="8"/>
  <c r="Q39" i="8"/>
  <c r="M47" i="8"/>
  <c r="M48" i="8" s="1"/>
  <c r="U54" i="8"/>
  <c r="K55" i="8"/>
  <c r="U55" i="8" s="1"/>
  <c r="K31" i="8"/>
  <c r="U31" i="8" s="1"/>
  <c r="U30" i="8"/>
  <c r="K37" i="8"/>
  <c r="U37" i="8" s="1"/>
  <c r="U36" i="8"/>
  <c r="P32" i="8"/>
  <c r="Q32" i="8" s="1"/>
  <c r="O33" i="8"/>
  <c r="P33" i="8" s="1"/>
  <c r="Q33" i="8" s="1"/>
  <c r="N31" i="8"/>
  <c r="M32" i="8"/>
  <c r="M33" i="8" s="1"/>
  <c r="P56" i="8"/>
  <c r="Q56" i="8" s="1"/>
  <c r="O57" i="8"/>
  <c r="P57" i="8" s="1"/>
  <c r="Q57" i="8" s="1"/>
  <c r="H4" i="8" l="1"/>
  <c r="D65" i="6"/>
  <c r="E4" i="8"/>
  <c r="F4" i="8" s="1"/>
  <c r="H32" i="8"/>
  <c r="M37" i="8" s="1"/>
  <c r="M38" i="8" s="1"/>
  <c r="M39" i="8" s="1"/>
  <c r="O34" i="8"/>
  <c r="O35" i="8" s="1"/>
  <c r="N32" i="8"/>
  <c r="O47" i="8"/>
  <c r="J65" i="6" l="1"/>
  <c r="D68" i="6"/>
  <c r="J68" i="6" s="1"/>
  <c r="N33" i="8"/>
  <c r="O36" i="8"/>
  <c r="P36" i="8" s="1"/>
  <c r="Q36" i="8" s="1"/>
  <c r="P35" i="8"/>
  <c r="Q35" i="8" s="1"/>
  <c r="M34" i="8"/>
  <c r="J32" i="8"/>
  <c r="J33" i="8" s="1"/>
  <c r="J34" i="8" s="1"/>
  <c r="P34" i="8"/>
  <c r="Q34" i="8" s="1"/>
  <c r="P47" i="8"/>
  <c r="Q47" i="8" s="1"/>
  <c r="O48" i="8"/>
  <c r="P48" i="8" s="1"/>
  <c r="Q48" i="8" s="1"/>
  <c r="N34" i="8" l="1"/>
  <c r="M35" i="8"/>
  <c r="M36" i="8" s="1"/>
  <c r="N35" i="8" l="1"/>
  <c r="N37" i="8"/>
  <c r="N38" i="8" l="1"/>
  <c r="N40" i="8"/>
  <c r="N36" i="8"/>
  <c r="N43" i="8" l="1"/>
  <c r="N41" i="8"/>
  <c r="N39" i="8"/>
  <c r="N42" i="8" l="1"/>
  <c r="N44" i="8"/>
  <c r="N46" i="8"/>
  <c r="N45" i="8" l="1"/>
  <c r="N47" i="8"/>
  <c r="N49" i="8"/>
  <c r="N48" i="8" l="1"/>
  <c r="N50" i="8"/>
  <c r="N52" i="8"/>
  <c r="N51" i="8" l="1"/>
  <c r="N55" i="8"/>
  <c r="N53" i="8"/>
  <c r="N54" i="8" l="1"/>
  <c r="N56" i="8"/>
  <c r="N57" i="8" l="1"/>
  <c r="G7" i="7" l="1"/>
  <c r="I33" i="6"/>
  <c r="I40" i="6" s="1"/>
  <c r="D29" i="6" s="1"/>
  <c r="F29" i="6" s="1"/>
  <c r="D71" i="8"/>
  <c r="G71" i="8" s="1"/>
  <c r="J7" i="7"/>
  <c r="K7" i="7" s="1"/>
  <c r="D8" i="7"/>
  <c r="D59" i="8" s="1"/>
  <c r="J8" i="7" l="1"/>
  <c r="K8" i="7" s="1"/>
  <c r="I71" i="8"/>
  <c r="K71" i="8" s="1"/>
  <c r="G59" i="8"/>
  <c r="D56" i="8"/>
  <c r="D62" i="8"/>
  <c r="J9" i="7"/>
  <c r="K9" i="7" s="1"/>
  <c r="O73" i="8"/>
  <c r="Z36" i="8"/>
  <c r="AB36" i="8" s="1"/>
  <c r="S39" i="7"/>
  <c r="G8" i="7"/>
  <c r="T40" i="7"/>
  <c r="S43" i="7" s="1"/>
  <c r="K72" i="8" l="1"/>
  <c r="U71" i="8"/>
  <c r="T39" i="7"/>
  <c r="S40" i="7"/>
  <c r="S42" i="7"/>
  <c r="T42" i="7" s="1"/>
  <c r="T43" i="7" s="1"/>
  <c r="G56" i="8"/>
  <c r="Z57" i="8"/>
  <c r="AB57" i="8" s="1"/>
  <c r="P73" i="8"/>
  <c r="D6" i="8"/>
  <c r="D21" i="6" s="1"/>
  <c r="D73" i="6" s="1"/>
  <c r="C66" i="8"/>
  <c r="D65" i="8"/>
  <c r="G62" i="8"/>
  <c r="I62" i="8"/>
  <c r="K62" i="8" s="1"/>
  <c r="AC36" i="8"/>
  <c r="AD36" i="8"/>
  <c r="J73" i="6" l="1"/>
  <c r="D76" i="6"/>
  <c r="J76" i="6" s="1"/>
  <c r="AE36" i="8"/>
  <c r="AF36" i="8" s="1"/>
  <c r="AD57" i="8"/>
  <c r="AC57" i="8"/>
  <c r="K63" i="8"/>
  <c r="U62" i="8"/>
  <c r="D68" i="8"/>
  <c r="G65" i="8"/>
  <c r="I65" i="8"/>
  <c r="K65" i="8" s="1"/>
  <c r="H65" i="8"/>
  <c r="O67" i="8"/>
  <c r="F66" i="8"/>
  <c r="Q73" i="8"/>
  <c r="U72" i="8"/>
  <c r="K73" i="8"/>
  <c r="U73" i="8" s="1"/>
  <c r="K66" i="8" l="1"/>
  <c r="U65" i="8"/>
  <c r="O70" i="8"/>
  <c r="G68" i="8"/>
  <c r="I68" i="8"/>
  <c r="K64" i="8"/>
  <c r="U64" i="8" s="1"/>
  <c r="U63" i="8"/>
  <c r="J65" i="8"/>
  <c r="J66" i="8" s="1"/>
  <c r="J67" i="8" s="1"/>
  <c r="P67" i="8"/>
  <c r="O68" i="8"/>
  <c r="AE57" i="8"/>
  <c r="K68" i="8" l="1"/>
  <c r="M73" i="8"/>
  <c r="O69" i="8"/>
  <c r="P69" i="8" s="1"/>
  <c r="P68" i="8"/>
  <c r="Q67" i="8"/>
  <c r="AF57" i="8"/>
  <c r="D57" i="8" s="1"/>
  <c r="C57" i="8"/>
  <c r="O71" i="8"/>
  <c r="P70" i="8"/>
  <c r="M70" i="8"/>
  <c r="M71" i="8" s="1"/>
  <c r="M72" i="8" s="1"/>
  <c r="K67" i="8"/>
  <c r="U67" i="8" s="1"/>
  <c r="U66" i="8"/>
  <c r="G57" i="8" l="1"/>
  <c r="D60" i="8"/>
  <c r="I56" i="8"/>
  <c r="K56" i="8" s="1"/>
  <c r="C60" i="8"/>
  <c r="S78" i="8"/>
  <c r="H56" i="8"/>
  <c r="F57" i="8"/>
  <c r="O58" i="8"/>
  <c r="Q68" i="8"/>
  <c r="Q69" i="8"/>
  <c r="Q70" i="8"/>
  <c r="P71" i="8"/>
  <c r="O72" i="8"/>
  <c r="P72" i="8" s="1"/>
  <c r="U68" i="8"/>
  <c r="K69" i="8"/>
  <c r="Q72" i="8" l="1"/>
  <c r="Q71" i="8"/>
  <c r="M58" i="8"/>
  <c r="J56" i="8"/>
  <c r="J57" i="8" s="1"/>
  <c r="J58" i="8" s="1"/>
  <c r="O59" i="8"/>
  <c r="P58" i="8"/>
  <c r="F60" i="8"/>
  <c r="O61" i="8"/>
  <c r="C63" i="8"/>
  <c r="H59" i="8"/>
  <c r="K57" i="8"/>
  <c r="U56" i="8"/>
  <c r="K70" i="8"/>
  <c r="U70" i="8" s="1"/>
  <c r="U69" i="8"/>
  <c r="G60" i="8"/>
  <c r="I59" i="8"/>
  <c r="K59" i="8" s="1"/>
  <c r="Q58" i="8" l="1"/>
  <c r="N58" i="8"/>
  <c r="M59" i="8"/>
  <c r="M60" i="8" s="1"/>
  <c r="M62" i="8"/>
  <c r="M63" i="8" s="1"/>
  <c r="U59" i="8"/>
  <c r="K60" i="8"/>
  <c r="O60" i="8"/>
  <c r="P60" i="8" s="1"/>
  <c r="P59" i="8"/>
  <c r="K58" i="8"/>
  <c r="U58" i="8" s="1"/>
  <c r="U57" i="8"/>
  <c r="M61" i="8"/>
  <c r="J59" i="8"/>
  <c r="J60" i="8" s="1"/>
  <c r="J61" i="8" s="1"/>
  <c r="F63" i="8"/>
  <c r="O64" i="8"/>
  <c r="H62" i="8"/>
  <c r="P61" i="8"/>
  <c r="O62" i="8"/>
  <c r="Q60" i="8" l="1"/>
  <c r="O65" i="8"/>
  <c r="P64" i="8"/>
  <c r="U60" i="8"/>
  <c r="K61" i="8"/>
  <c r="U61" i="8" s="1"/>
  <c r="M64" i="8"/>
  <c r="M65" i="8" s="1"/>
  <c r="M66" i="8" s="1"/>
  <c r="J62" i="8"/>
  <c r="J63" i="8" s="1"/>
  <c r="J64" i="8" s="1"/>
  <c r="M67" i="8"/>
  <c r="M68" i="8" s="1"/>
  <c r="M69" i="8" s="1"/>
  <c r="N59" i="8"/>
  <c r="N61" i="8"/>
  <c r="P62" i="8"/>
  <c r="O63" i="8"/>
  <c r="P63" i="8" s="1"/>
  <c r="Q61" i="8"/>
  <c r="Q59" i="8"/>
  <c r="Q63" i="8" l="1"/>
  <c r="Q64" i="8"/>
  <c r="Q62" i="8"/>
  <c r="N62" i="8"/>
  <c r="N64" i="8"/>
  <c r="P65" i="8"/>
  <c r="O66" i="8"/>
  <c r="P66" i="8" s="1"/>
  <c r="N60" i="8"/>
  <c r="N67" i="8" l="1"/>
  <c r="N65" i="8"/>
  <c r="N63" i="8"/>
  <c r="Q66" i="8"/>
  <c r="Q65" i="8"/>
  <c r="N66" i="8" l="1"/>
  <c r="N68" i="8"/>
  <c r="N70" i="8"/>
  <c r="N71" i="8" l="1"/>
  <c r="N73" i="8"/>
  <c r="N69" i="8"/>
  <c r="E6" i="8" l="1"/>
  <c r="S73" i="8" s="1"/>
  <c r="N72" i="8"/>
  <c r="S72" i="8" l="1"/>
  <c r="T72" i="8" s="1"/>
  <c r="S71" i="8"/>
  <c r="R71" i="8" s="1"/>
  <c r="T73" i="8"/>
  <c r="R73" i="8"/>
  <c r="E5" i="8"/>
  <c r="S28" i="8"/>
  <c r="S46" i="8"/>
  <c r="S32" i="8"/>
  <c r="S35" i="8"/>
  <c r="S45" i="8"/>
  <c r="S36" i="8"/>
  <c r="S41" i="8"/>
  <c r="S30" i="8"/>
  <c r="S38" i="8"/>
  <c r="S54" i="8"/>
  <c r="S57" i="8"/>
  <c r="S40" i="8"/>
  <c r="S49" i="8"/>
  <c r="S47" i="8"/>
  <c r="S50" i="8"/>
  <c r="S56" i="8"/>
  <c r="S51" i="8"/>
  <c r="S42" i="8"/>
  <c r="S33" i="8"/>
  <c r="S48" i="8"/>
  <c r="S53" i="8"/>
  <c r="S37" i="8"/>
  <c r="S34" i="8"/>
  <c r="S55" i="8"/>
  <c r="S31" i="8"/>
  <c r="S43" i="8"/>
  <c r="S29" i="8"/>
  <c r="S44" i="8"/>
  <c r="S52" i="8"/>
  <c r="S39" i="8"/>
  <c r="S58" i="8"/>
  <c r="S61" i="8"/>
  <c r="S59" i="8"/>
  <c r="S64" i="8"/>
  <c r="S62" i="8"/>
  <c r="S60" i="8"/>
  <c r="S63" i="8"/>
  <c r="S65" i="8"/>
  <c r="S67" i="8"/>
  <c r="S70" i="8"/>
  <c r="S68" i="8"/>
  <c r="S66" i="8"/>
  <c r="S69" i="8"/>
  <c r="F6" i="8" l="1"/>
  <c r="D24" i="6" s="1"/>
  <c r="D74" i="6" s="1"/>
  <c r="J74" i="6" s="1"/>
  <c r="D5" i="8"/>
  <c r="D10" i="8" s="1"/>
  <c r="D11" i="8" s="1"/>
  <c r="G31" i="6" s="1"/>
  <c r="T71" i="8"/>
  <c r="R72" i="8"/>
  <c r="T55" i="8"/>
  <c r="R55" i="8"/>
  <c r="G33" i="6" s="1"/>
  <c r="R50" i="8"/>
  <c r="T50" i="8"/>
  <c r="R41" i="8"/>
  <c r="T41" i="8"/>
  <c r="F5" i="8"/>
  <c r="D23" i="6" s="1"/>
  <c r="D70" i="6" s="1"/>
  <c r="J70" i="6" s="1"/>
  <c r="T70" i="8"/>
  <c r="R70" i="8"/>
  <c r="R39" i="8"/>
  <c r="T39" i="8"/>
  <c r="T58" i="8"/>
  <c r="R58" i="8"/>
  <c r="R37" i="8"/>
  <c r="T37" i="8"/>
  <c r="T63" i="8"/>
  <c r="R63" i="8"/>
  <c r="T49" i="8"/>
  <c r="R49" i="8"/>
  <c r="T44" i="8"/>
  <c r="R44" i="8"/>
  <c r="R35" i="8"/>
  <c r="T35" i="8"/>
  <c r="T56" i="8"/>
  <c r="R56" i="8"/>
  <c r="T34" i="8"/>
  <c r="R34" i="8"/>
  <c r="R47" i="8"/>
  <c r="T47" i="8"/>
  <c r="T52" i="8"/>
  <c r="R52" i="8"/>
  <c r="T62" i="8"/>
  <c r="R62" i="8"/>
  <c r="T32" i="8"/>
  <c r="R32" i="8"/>
  <c r="T61" i="8"/>
  <c r="R61" i="8"/>
  <c r="T67" i="8"/>
  <c r="R67" i="8"/>
  <c r="T65" i="8"/>
  <c r="R65" i="8"/>
  <c r="T36" i="8"/>
  <c r="R36" i="8"/>
  <c r="T53" i="8"/>
  <c r="R53" i="8"/>
  <c r="T48" i="8"/>
  <c r="R48" i="8"/>
  <c r="T69" i="8"/>
  <c r="R69" i="8"/>
  <c r="R57" i="8"/>
  <c r="T57" i="8"/>
  <c r="T43" i="8"/>
  <c r="R43" i="8"/>
  <c r="T42" i="8"/>
  <c r="R42" i="8"/>
  <c r="R54" i="8"/>
  <c r="T54" i="8"/>
  <c r="R46" i="8"/>
  <c r="G37" i="6" s="1"/>
  <c r="T46" i="8"/>
  <c r="R30" i="8"/>
  <c r="T30" i="8"/>
  <c r="R45" i="8"/>
  <c r="T45" i="8"/>
  <c r="T60" i="8"/>
  <c r="R60" i="8"/>
  <c r="R40" i="8"/>
  <c r="T40" i="8"/>
  <c r="T29" i="8"/>
  <c r="R29" i="8"/>
  <c r="R33" i="8"/>
  <c r="T33" i="8"/>
  <c r="T66" i="8"/>
  <c r="R66" i="8"/>
  <c r="T64" i="8"/>
  <c r="R64" i="8"/>
  <c r="T68" i="8"/>
  <c r="R68" i="8"/>
  <c r="T59" i="8"/>
  <c r="R59" i="8"/>
  <c r="T31" i="8"/>
  <c r="R31" i="8"/>
  <c r="R51" i="8"/>
  <c r="T51" i="8"/>
  <c r="R38" i="8"/>
  <c r="T38" i="8"/>
  <c r="T28" i="8"/>
  <c r="R28" i="8"/>
  <c r="K27" i="6" l="1"/>
  <c r="D25" i="6"/>
  <c r="D20" i="6"/>
  <c r="D69" i="6" s="1"/>
  <c r="S76" i="8"/>
  <c r="J69" i="6" l="1"/>
  <c r="D72" i="6"/>
  <c r="J72" i="6" s="1"/>
</calcChain>
</file>

<file path=xl/sharedStrings.xml><?xml version="1.0" encoding="utf-8"?>
<sst xmlns="http://schemas.openxmlformats.org/spreadsheetml/2006/main" count="288" uniqueCount="118">
  <si>
    <t>=</t>
  </si>
  <si>
    <t>L</t>
  </si>
  <si>
    <t>cu.ft.</t>
  </si>
  <si>
    <t>A</t>
  </si>
  <si>
    <t>B</t>
  </si>
  <si>
    <t>x</t>
  </si>
  <si>
    <t>y</t>
  </si>
  <si>
    <t>dX</t>
  </si>
  <si>
    <t>dY</t>
  </si>
  <si>
    <t>p</t>
  </si>
  <si>
    <t>Panels</t>
  </si>
  <si>
    <t>#</t>
  </si>
  <si>
    <t>d</t>
  </si>
  <si>
    <t>S1</t>
  </si>
  <si>
    <t>S4</t>
  </si>
  <si>
    <t>l.</t>
  </si>
  <si>
    <t>Vol. (net)</t>
  </si>
  <si>
    <t>Vol. (gross)</t>
  </si>
  <si>
    <t>cm^2</t>
  </si>
  <si>
    <t>l</t>
  </si>
  <si>
    <t>Advanced Centerline</t>
  </si>
  <si>
    <t>Driver</t>
  </si>
  <si>
    <t>cm</t>
  </si>
  <si>
    <t>L12</t>
  </si>
  <si>
    <t>Frame Width</t>
  </si>
  <si>
    <t>Magnet Width</t>
  </si>
  <si>
    <t>Magnet Height</t>
  </si>
  <si>
    <t>Plot</t>
  </si>
  <si>
    <t>Delta</t>
  </si>
  <si>
    <t>Mounting Width</t>
  </si>
  <si>
    <t>Mounting Depth</t>
  </si>
  <si>
    <t>v</t>
  </si>
  <si>
    <t>Cos</t>
  </si>
  <si>
    <t>Sin</t>
  </si>
  <si>
    <t>Path Calculations</t>
  </si>
  <si>
    <t>dS</t>
  </si>
  <si>
    <t>tan</t>
  </si>
  <si>
    <t>S2</t>
  </si>
  <si>
    <t>dx</t>
  </si>
  <si>
    <t>dy</t>
  </si>
  <si>
    <t>S</t>
  </si>
  <si>
    <t>Pnl Vol</t>
  </si>
  <si>
    <t>L (actual)</t>
  </si>
  <si>
    <t>Face (1)</t>
  </si>
  <si>
    <t>S3</t>
  </si>
  <si>
    <t>S5</t>
  </si>
  <si>
    <t>L34</t>
  </si>
  <si>
    <t>L23</t>
  </si>
  <si>
    <t>in</t>
  </si>
  <si>
    <t>Graph Axes</t>
  </si>
  <si>
    <t>Guides</t>
  </si>
  <si>
    <t>Sample points</t>
  </si>
  <si>
    <t>driver offset</t>
  </si>
  <si>
    <t>n</t>
  </si>
  <si>
    <t>HornResp Params</t>
  </si>
  <si>
    <t>Box Dimensions</t>
  </si>
  <si>
    <t>Driver Dimensions</t>
  </si>
  <si>
    <t>Horn Design</t>
  </si>
  <si>
    <t>Width</t>
  </si>
  <si>
    <t>Height</t>
  </si>
  <si>
    <t>Expansion</t>
  </si>
  <si>
    <t>Intersection points</t>
  </si>
  <si>
    <t>x1</t>
  </si>
  <si>
    <t>y1</t>
  </si>
  <si>
    <t>x2</t>
  </si>
  <si>
    <t>y2</t>
  </si>
  <si>
    <t>a</t>
  </si>
  <si>
    <t>b</t>
  </si>
  <si>
    <t>Driver centerline</t>
  </si>
  <si>
    <t>sample point 3</t>
  </si>
  <si>
    <t>Sample point 11</t>
  </si>
  <si>
    <t>n0</t>
  </si>
  <si>
    <t>Panel A (front)</t>
  </si>
  <si>
    <t>Panel B (back)</t>
  </si>
  <si>
    <t>Panel C (sides)</t>
  </si>
  <si>
    <t>Panel D (top, bottom)</t>
  </si>
  <si>
    <t>Panel E (1st inside)</t>
  </si>
  <si>
    <t>Version</t>
  </si>
  <si>
    <t>Depth</t>
  </si>
  <si>
    <t>Beta</t>
  </si>
  <si>
    <t>o</t>
  </si>
  <si>
    <t>Cone Volume</t>
  </si>
  <si>
    <t>cm^3</t>
  </si>
  <si>
    <t>Cone Vol. Adj. (S2)</t>
  </si>
  <si>
    <t>Cone Area Adj. (S2)</t>
  </si>
  <si>
    <t>Filename</t>
  </si>
  <si>
    <t>I:\Users\Brian.Steele\OneDrive\Hornresp\Import\BOXPLAN.TXT</t>
  </si>
  <si>
    <t>ID</t>
  </si>
  <si>
    <t>29.00</t>
  </si>
  <si>
    <t>Ang</t>
  </si>
  <si>
    <t>2.0 x PI</t>
  </si>
  <si>
    <t>Eg</t>
  </si>
  <si>
    <t>Rg</t>
  </si>
  <si>
    <t>Fta</t>
  </si>
  <si>
    <t>F12</t>
  </si>
  <si>
    <t>F23</t>
  </si>
  <si>
    <t>F34</t>
  </si>
  <si>
    <t>F45</t>
  </si>
  <si>
    <t>Sd</t>
  </si>
  <si>
    <t>Bl</t>
  </si>
  <si>
    <t>Cms</t>
  </si>
  <si>
    <t>Rms</t>
  </si>
  <si>
    <t>Mmd</t>
  </si>
  <si>
    <t>Le</t>
  </si>
  <si>
    <t>Re</t>
  </si>
  <si>
    <t>TH</t>
  </si>
  <si>
    <t>Vrc</t>
  </si>
  <si>
    <t>Lrc</t>
  </si>
  <si>
    <t>Ap1</t>
  </si>
  <si>
    <t>Lp</t>
  </si>
  <si>
    <t>Vtc</t>
  </si>
  <si>
    <t>Atc</t>
  </si>
  <si>
    <t>Pmax</t>
  </si>
  <si>
    <t>Xmax</t>
  </si>
  <si>
    <t>Comment</t>
  </si>
  <si>
    <t>L45</t>
  </si>
  <si>
    <t>BOXPLAN-Export STH</t>
  </si>
  <si>
    <t>Par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</si>
</sst>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0.000"/>
    <numFmt numFmtId="166" formatCode="0.0000"/>
    <numFmt numFmtId="176" formatCode="0.00000"/>
  </numFmts>
  <fonts count="15" x14ac:knownFonts="1"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sz val="10"/>
      <name val="Arial"/>
      <family val="2"/>
    </font>
    <font>
      <b/>
      <sz val="8"/>
      <color rgb="FF0033CC"/>
      <name val="Arial"/>
      <family val="2"/>
    </font>
    <font>
      <sz val="8"/>
      <name val="Arial"/>
      <family val="2"/>
    </font>
    <font>
      <b/>
      <sz val="8"/>
      <color rgb="FFFF0000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  <font>
      <b/>
      <sz val="8"/>
      <color rgb="FF0000FF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0">
    <xf numFmtId="0" fontId="0" fillId="0" borderId="0" xfId="0"/>
    <xf numFmtId="0" fontId="1" fillId="0" borderId="0" xfId="0" applyFont="1"/>
    <xf numFmtId="2" fontId="1" fillId="0" borderId="0" xfId="0" applyNumberFormat="1" applyFont="1"/>
    <xf numFmtId="164" fontId="1" fillId="0" borderId="0" xfId="0" applyNumberFormat="1" applyFont="1"/>
    <xf numFmtId="0" fontId="1" fillId="0" borderId="0" xfId="0" applyFont="1" applyAlignment="1">
      <alignment horizontal="center"/>
    </xf>
    <xf numFmtId="164" fontId="2" fillId="0" borderId="0" xfId="0" applyNumberFormat="1" applyFont="1"/>
    <xf numFmtId="2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2" fillId="0" borderId="0" xfId="0" applyFont="1" applyAlignment="1"/>
    <xf numFmtId="0" fontId="2" fillId="0" borderId="0" xfId="0" applyFont="1"/>
    <xf numFmtId="0" fontId="3" fillId="0" borderId="0" xfId="0" applyFont="1"/>
    <xf numFmtId="0" fontId="1" fillId="3" borderId="6" xfId="0" applyFont="1" applyFill="1" applyBorder="1"/>
    <xf numFmtId="164" fontId="1" fillId="3" borderId="6" xfId="0" applyNumberFormat="1" applyFont="1" applyFill="1" applyBorder="1" applyAlignment="1"/>
    <xf numFmtId="0" fontId="1" fillId="3" borderId="6" xfId="0" applyFont="1" applyFill="1" applyBorder="1" applyAlignment="1">
      <alignment horizontal="center"/>
    </xf>
    <xf numFmtId="164" fontId="1" fillId="3" borderId="6" xfId="0" applyNumberFormat="1" applyFont="1" applyFill="1" applyBorder="1" applyAlignment="1">
      <alignment horizontal="center"/>
    </xf>
    <xf numFmtId="164" fontId="1" fillId="3" borderId="7" xfId="0" applyNumberFormat="1" applyFont="1" applyFill="1" applyBorder="1" applyAlignment="1"/>
    <xf numFmtId="0" fontId="1" fillId="3" borderId="8" xfId="0" applyFont="1" applyFill="1" applyBorder="1"/>
    <xf numFmtId="0" fontId="1" fillId="3" borderId="0" xfId="0" applyFont="1" applyFill="1" applyBorder="1"/>
    <xf numFmtId="164" fontId="1" fillId="3" borderId="0" xfId="0" applyNumberFormat="1" applyFont="1" applyFill="1" applyBorder="1" applyAlignment="1"/>
    <xf numFmtId="0" fontId="1" fillId="3" borderId="0" xfId="0" applyFont="1" applyFill="1" applyBorder="1" applyAlignment="1">
      <alignment horizontal="center"/>
    </xf>
    <xf numFmtId="164" fontId="1" fillId="3" borderId="0" xfId="0" applyNumberFormat="1" applyFont="1" applyFill="1" applyBorder="1" applyAlignment="1">
      <alignment horizontal="center"/>
    </xf>
    <xf numFmtId="164" fontId="1" fillId="3" borderId="9" xfId="0" applyNumberFormat="1" applyFont="1" applyFill="1" applyBorder="1" applyAlignment="1"/>
    <xf numFmtId="0" fontId="1" fillId="3" borderId="10" xfId="0" applyFont="1" applyFill="1" applyBorder="1"/>
    <xf numFmtId="0" fontId="1" fillId="3" borderId="11" xfId="0" applyFont="1" applyFill="1" applyBorder="1"/>
    <xf numFmtId="164" fontId="1" fillId="3" borderId="11" xfId="0" applyNumberFormat="1" applyFont="1" applyFill="1" applyBorder="1" applyAlignment="1"/>
    <xf numFmtId="0" fontId="1" fillId="3" borderId="11" xfId="0" applyFont="1" applyFill="1" applyBorder="1" applyAlignment="1">
      <alignment horizontal="center"/>
    </xf>
    <xf numFmtId="164" fontId="1" fillId="3" borderId="11" xfId="0" applyNumberFormat="1" applyFont="1" applyFill="1" applyBorder="1" applyAlignment="1">
      <alignment horizontal="center"/>
    </xf>
    <xf numFmtId="0" fontId="2" fillId="3" borderId="12" xfId="0" applyFont="1" applyFill="1" applyBorder="1"/>
    <xf numFmtId="0" fontId="1" fillId="3" borderId="16" xfId="0" applyFont="1" applyFill="1" applyBorder="1"/>
    <xf numFmtId="0" fontId="2" fillId="0" borderId="0" xfId="0" applyFont="1" applyAlignment="1">
      <alignment horizontal="center"/>
    </xf>
    <xf numFmtId="165" fontId="1" fillId="0" borderId="0" xfId="0" applyNumberFormat="1" applyFont="1"/>
    <xf numFmtId="1" fontId="1" fillId="0" borderId="0" xfId="0" applyNumberFormat="1" applyFont="1"/>
    <xf numFmtId="0" fontId="2" fillId="0" borderId="1" xfId="0" applyFont="1" applyFill="1" applyBorder="1"/>
    <xf numFmtId="164" fontId="1" fillId="4" borderId="12" xfId="0" applyNumberFormat="1" applyFont="1" applyFill="1" applyBorder="1"/>
    <xf numFmtId="164" fontId="1" fillId="4" borderId="6" xfId="0" applyNumberFormat="1" applyFont="1" applyFill="1" applyBorder="1"/>
    <xf numFmtId="0" fontId="1" fillId="4" borderId="6" xfId="0" applyFont="1" applyFill="1" applyBorder="1"/>
    <xf numFmtId="164" fontId="1" fillId="4" borderId="8" xfId="0" applyNumberFormat="1" applyFont="1" applyFill="1" applyBorder="1"/>
    <xf numFmtId="164" fontId="1" fillId="4" borderId="0" xfId="0" applyNumberFormat="1" applyFont="1" applyFill="1" applyBorder="1"/>
    <xf numFmtId="0" fontId="1" fillId="4" borderId="0" xfId="0" applyFont="1" applyFill="1" applyBorder="1"/>
    <xf numFmtId="0" fontId="1" fillId="4" borderId="10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164" fontId="1" fillId="4" borderId="11" xfId="0" applyNumberFormat="1" applyFont="1" applyFill="1" applyBorder="1" applyAlignment="1">
      <alignment horizontal="center"/>
    </xf>
    <xf numFmtId="0" fontId="1" fillId="4" borderId="10" xfId="0" applyFont="1" applyFill="1" applyBorder="1"/>
    <xf numFmtId="0" fontId="1" fillId="4" borderId="11" xfId="0" applyFont="1" applyFill="1" applyBorder="1"/>
    <xf numFmtId="0" fontId="1" fillId="4" borderId="0" xfId="0" applyFont="1" applyFill="1" applyBorder="1" applyAlignment="1">
      <alignment horizontal="center"/>
    </xf>
    <xf numFmtId="164" fontId="1" fillId="4" borderId="0" xfId="0" applyNumberFormat="1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1" fontId="2" fillId="0" borderId="0" xfId="0" applyNumberFormat="1" applyFont="1"/>
    <xf numFmtId="164" fontId="4" fillId="0" borderId="17" xfId="0" applyNumberFormat="1" applyFont="1" applyFill="1" applyBorder="1"/>
    <xf numFmtId="164" fontId="1" fillId="4" borderId="7" xfId="0" applyNumberFormat="1" applyFont="1" applyFill="1" applyBorder="1"/>
    <xf numFmtId="164" fontId="1" fillId="4" borderId="9" xfId="0" applyNumberFormat="1" applyFont="1" applyFill="1" applyBorder="1"/>
    <xf numFmtId="164" fontId="1" fillId="4" borderId="16" xfId="0" applyNumberFormat="1" applyFont="1" applyFill="1" applyBorder="1"/>
    <xf numFmtId="164" fontId="3" fillId="0" borderId="0" xfId="0" applyNumberFormat="1" applyFont="1"/>
    <xf numFmtId="0" fontId="1" fillId="6" borderId="12" xfId="0" applyFont="1" applyFill="1" applyBorder="1"/>
    <xf numFmtId="0" fontId="1" fillId="6" borderId="6" xfId="0" applyFont="1" applyFill="1" applyBorder="1"/>
    <xf numFmtId="2" fontId="1" fillId="6" borderId="7" xfId="0" applyNumberFormat="1" applyFont="1" applyFill="1" applyBorder="1"/>
    <xf numFmtId="0" fontId="1" fillId="6" borderId="8" xfId="0" applyFont="1" applyFill="1" applyBorder="1"/>
    <xf numFmtId="0" fontId="1" fillId="6" borderId="0" xfId="0" applyFont="1" applyFill="1" applyBorder="1"/>
    <xf numFmtId="2" fontId="1" fillId="6" borderId="9" xfId="0" applyNumberFormat="1" applyFont="1" applyFill="1" applyBorder="1"/>
    <xf numFmtId="0" fontId="1" fillId="6" borderId="9" xfId="0" applyFont="1" applyFill="1" applyBorder="1"/>
    <xf numFmtId="0" fontId="1" fillId="6" borderId="10" xfId="0" applyFont="1" applyFill="1" applyBorder="1"/>
    <xf numFmtId="0" fontId="1" fillId="6" borderId="11" xfId="0" applyFont="1" applyFill="1" applyBorder="1"/>
    <xf numFmtId="0" fontId="2" fillId="7" borderId="18" xfId="0" applyFont="1" applyFill="1" applyBorder="1"/>
    <xf numFmtId="2" fontId="1" fillId="6" borderId="16" xfId="0" applyNumberFormat="1" applyFont="1" applyFill="1" applyBorder="1"/>
    <xf numFmtId="0" fontId="1" fillId="4" borderId="9" xfId="0" applyFont="1" applyFill="1" applyBorder="1" applyAlignment="1">
      <alignment horizontal="center"/>
    </xf>
    <xf numFmtId="0" fontId="1" fillId="4" borderId="16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2" fontId="3" fillId="0" borderId="0" xfId="0" applyNumberFormat="1" applyFont="1"/>
    <xf numFmtId="1" fontId="3" fillId="0" borderId="0" xfId="0" applyNumberFormat="1" applyFont="1"/>
    <xf numFmtId="0" fontId="3" fillId="6" borderId="12" xfId="0" applyFont="1" applyFill="1" applyBorder="1"/>
    <xf numFmtId="0" fontId="3" fillId="6" borderId="6" xfId="0" applyFont="1" applyFill="1" applyBorder="1"/>
    <xf numFmtId="0" fontId="3" fillId="6" borderId="8" xfId="0" applyFont="1" applyFill="1" applyBorder="1"/>
    <xf numFmtId="0" fontId="3" fillId="6" borderId="0" xfId="0" applyFont="1" applyFill="1" applyBorder="1"/>
    <xf numFmtId="0" fontId="3" fillId="6" borderId="10" xfId="0" applyFont="1" applyFill="1" applyBorder="1"/>
    <xf numFmtId="0" fontId="3" fillId="6" borderId="11" xfId="0" applyFont="1" applyFill="1" applyBorder="1"/>
    <xf numFmtId="164" fontId="3" fillId="4" borderId="12" xfId="0" applyNumberFormat="1" applyFont="1" applyFill="1" applyBorder="1"/>
    <xf numFmtId="164" fontId="3" fillId="4" borderId="6" xfId="0" applyNumberFormat="1" applyFont="1" applyFill="1" applyBorder="1"/>
    <xf numFmtId="0" fontId="3" fillId="4" borderId="6" xfId="0" applyFont="1" applyFill="1" applyBorder="1"/>
    <xf numFmtId="0" fontId="3" fillId="4" borderId="7" xfId="0" applyFont="1" applyFill="1" applyBorder="1"/>
    <xf numFmtId="164" fontId="3" fillId="4" borderId="8" xfId="0" applyNumberFormat="1" applyFont="1" applyFill="1" applyBorder="1"/>
    <xf numFmtId="164" fontId="3" fillId="4" borderId="0" xfId="0" applyNumberFormat="1" applyFont="1" applyFill="1" applyBorder="1"/>
    <xf numFmtId="0" fontId="3" fillId="4" borderId="0" xfId="0" applyFont="1" applyFill="1" applyBorder="1"/>
    <xf numFmtId="0" fontId="3" fillId="4" borderId="9" xfId="0" applyFont="1" applyFill="1" applyBorder="1"/>
    <xf numFmtId="0" fontId="3" fillId="4" borderId="8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164" fontId="3" fillId="4" borderId="0" xfId="0" applyNumberFormat="1" applyFont="1" applyFill="1" applyBorder="1" applyAlignment="1">
      <alignment horizontal="center"/>
    </xf>
    <xf numFmtId="1" fontId="3" fillId="4" borderId="0" xfId="0" applyNumberFormat="1" applyFont="1" applyFill="1" applyBorder="1"/>
    <xf numFmtId="1" fontId="3" fillId="4" borderId="9" xfId="0" applyNumberFormat="1" applyFont="1" applyFill="1" applyBorder="1"/>
    <xf numFmtId="1" fontId="3" fillId="4" borderId="6" xfId="0" applyNumberFormat="1" applyFont="1" applyFill="1" applyBorder="1"/>
    <xf numFmtId="1" fontId="3" fillId="4" borderId="7" xfId="0" applyNumberFormat="1" applyFont="1" applyFill="1" applyBorder="1"/>
    <xf numFmtId="0" fontId="3" fillId="4" borderId="10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/>
    </xf>
    <xf numFmtId="164" fontId="3" fillId="4" borderId="11" xfId="0" applyNumberFormat="1" applyFont="1" applyFill="1" applyBorder="1" applyAlignment="1">
      <alignment horizontal="center"/>
    </xf>
    <xf numFmtId="164" fontId="3" fillId="4" borderId="11" xfId="0" applyNumberFormat="1" applyFont="1" applyFill="1" applyBorder="1"/>
    <xf numFmtId="1" fontId="3" fillId="4" borderId="11" xfId="0" applyNumberFormat="1" applyFont="1" applyFill="1" applyBorder="1"/>
    <xf numFmtId="0" fontId="3" fillId="4" borderId="8" xfId="0" applyFont="1" applyFill="1" applyBorder="1"/>
    <xf numFmtId="0" fontId="3" fillId="4" borderId="10" xfId="0" applyFont="1" applyFill="1" applyBorder="1"/>
    <xf numFmtId="0" fontId="3" fillId="4" borderId="11" xfId="0" applyFont="1" applyFill="1" applyBorder="1"/>
    <xf numFmtId="1" fontId="3" fillId="4" borderId="16" xfId="0" applyNumberFormat="1" applyFont="1" applyFill="1" applyBorder="1"/>
    <xf numFmtId="164" fontId="3" fillId="5" borderId="12" xfId="0" applyNumberFormat="1" applyFont="1" applyFill="1" applyBorder="1"/>
    <xf numFmtId="164" fontId="3" fillId="5" borderId="6" xfId="0" applyNumberFormat="1" applyFont="1" applyFill="1" applyBorder="1"/>
    <xf numFmtId="0" fontId="3" fillId="5" borderId="6" xfId="0" applyFont="1" applyFill="1" applyBorder="1"/>
    <xf numFmtId="1" fontId="3" fillId="5" borderId="7" xfId="0" applyNumberFormat="1" applyFont="1" applyFill="1" applyBorder="1"/>
    <xf numFmtId="164" fontId="3" fillId="5" borderId="8" xfId="0" applyNumberFormat="1" applyFont="1" applyFill="1" applyBorder="1"/>
    <xf numFmtId="164" fontId="3" fillId="5" borderId="0" xfId="0" applyNumberFormat="1" applyFont="1" applyFill="1" applyBorder="1"/>
    <xf numFmtId="0" fontId="3" fillId="5" borderId="0" xfId="0" applyFont="1" applyFill="1" applyBorder="1"/>
    <xf numFmtId="0" fontId="3" fillId="5" borderId="0" xfId="0" applyFont="1" applyFill="1" applyBorder="1" applyAlignment="1">
      <alignment horizontal="center"/>
    </xf>
    <xf numFmtId="164" fontId="3" fillId="5" borderId="0" xfId="0" applyNumberFormat="1" applyFont="1" applyFill="1" applyBorder="1" applyAlignment="1">
      <alignment horizontal="center"/>
    </xf>
    <xf numFmtId="1" fontId="3" fillId="5" borderId="9" xfId="0" applyNumberFormat="1" applyFont="1" applyFill="1" applyBorder="1"/>
    <xf numFmtId="0" fontId="3" fillId="5" borderId="10" xfId="0" applyFont="1" applyFill="1" applyBorder="1"/>
    <xf numFmtId="0" fontId="3" fillId="5" borderId="11" xfId="0" applyFont="1" applyFill="1" applyBorder="1"/>
    <xf numFmtId="164" fontId="3" fillId="5" borderId="11" xfId="0" applyNumberFormat="1" applyFont="1" applyFill="1" applyBorder="1"/>
    <xf numFmtId="1" fontId="3" fillId="5" borderId="16" xfId="0" applyNumberFormat="1" applyFont="1" applyFill="1" applyBorder="1"/>
    <xf numFmtId="0" fontId="2" fillId="11" borderId="12" xfId="0" applyFont="1" applyFill="1" applyBorder="1"/>
    <xf numFmtId="0" fontId="1" fillId="11" borderId="6" xfId="0" applyFont="1" applyFill="1" applyBorder="1"/>
    <xf numFmtId="164" fontId="1" fillId="11" borderId="6" xfId="0" applyNumberFormat="1" applyFont="1" applyFill="1" applyBorder="1" applyAlignment="1">
      <alignment horizontal="center"/>
    </xf>
    <xf numFmtId="0" fontId="1" fillId="11" borderId="6" xfId="0" applyFont="1" applyFill="1" applyBorder="1" applyAlignment="1">
      <alignment horizontal="center"/>
    </xf>
    <xf numFmtId="164" fontId="1" fillId="11" borderId="6" xfId="0" applyNumberFormat="1" applyFont="1" applyFill="1" applyBorder="1" applyAlignment="1"/>
    <xf numFmtId="164" fontId="1" fillId="11" borderId="7" xfId="0" applyNumberFormat="1" applyFont="1" applyFill="1" applyBorder="1" applyAlignment="1"/>
    <xf numFmtId="0" fontId="1" fillId="11" borderId="8" xfId="0" applyFont="1" applyFill="1" applyBorder="1"/>
    <xf numFmtId="0" fontId="1" fillId="11" borderId="0" xfId="0" applyFont="1" applyFill="1" applyBorder="1"/>
    <xf numFmtId="164" fontId="1" fillId="11" borderId="0" xfId="0" applyNumberFormat="1" applyFont="1" applyFill="1" applyBorder="1" applyAlignment="1">
      <alignment horizontal="center"/>
    </xf>
    <xf numFmtId="0" fontId="1" fillId="11" borderId="0" xfId="0" applyFont="1" applyFill="1" applyBorder="1" applyAlignment="1">
      <alignment horizontal="center"/>
    </xf>
    <xf numFmtId="164" fontId="1" fillId="11" borderId="0" xfId="0" applyNumberFormat="1" applyFont="1" applyFill="1" applyBorder="1" applyAlignment="1"/>
    <xf numFmtId="164" fontId="1" fillId="11" borderId="9" xfId="0" applyNumberFormat="1" applyFont="1" applyFill="1" applyBorder="1" applyAlignment="1"/>
    <xf numFmtId="0" fontId="1" fillId="11" borderId="10" xfId="0" applyFont="1" applyFill="1" applyBorder="1"/>
    <xf numFmtId="0" fontId="1" fillId="11" borderId="11" xfId="0" applyFont="1" applyFill="1" applyBorder="1"/>
    <xf numFmtId="164" fontId="1" fillId="11" borderId="11" xfId="0" applyNumberFormat="1" applyFont="1" applyFill="1" applyBorder="1" applyAlignment="1">
      <alignment horizontal="center"/>
    </xf>
    <xf numFmtId="164" fontId="1" fillId="11" borderId="11" xfId="0" applyNumberFormat="1" applyFont="1" applyFill="1" applyBorder="1" applyAlignment="1"/>
    <xf numFmtId="164" fontId="1" fillId="11" borderId="16" xfId="0" applyNumberFormat="1" applyFont="1" applyFill="1" applyBorder="1" applyAlignment="1"/>
    <xf numFmtId="0" fontId="5" fillId="0" borderId="0" xfId="0" applyFont="1"/>
    <xf numFmtId="164" fontId="5" fillId="0" borderId="0" xfId="0" applyNumberFormat="1" applyFont="1"/>
    <xf numFmtId="0" fontId="6" fillId="0" borderId="0" xfId="0" applyFont="1"/>
    <xf numFmtId="0" fontId="5" fillId="9" borderId="1" xfId="0" applyFont="1" applyFill="1" applyBorder="1"/>
    <xf numFmtId="0" fontId="5" fillId="9" borderId="2" xfId="0" applyFont="1" applyFill="1" applyBorder="1"/>
    <xf numFmtId="2" fontId="7" fillId="9" borderId="17" xfId="0" applyNumberFormat="1" applyFont="1" applyFill="1" applyBorder="1"/>
    <xf numFmtId="164" fontId="5" fillId="0" borderId="19" xfId="0" applyNumberFormat="1" applyFont="1" applyBorder="1"/>
    <xf numFmtId="0" fontId="5" fillId="2" borderId="13" xfId="0" applyFont="1" applyFill="1" applyBorder="1"/>
    <xf numFmtId="0" fontId="5" fillId="2" borderId="14" xfId="0" applyFont="1" applyFill="1" applyBorder="1"/>
    <xf numFmtId="0" fontId="5" fillId="2" borderId="15" xfId="0" applyFont="1" applyFill="1" applyBorder="1"/>
    <xf numFmtId="164" fontId="5" fillId="0" borderId="4" xfId="0" applyNumberFormat="1" applyFont="1" applyBorder="1"/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9" borderId="20" xfId="0" applyFont="1" applyFill="1" applyBorder="1"/>
    <xf numFmtId="0" fontId="5" fillId="9" borderId="21" xfId="0" applyFont="1" applyFill="1" applyBorder="1"/>
    <xf numFmtId="2" fontId="7" fillId="9" borderId="22" xfId="0" applyNumberFormat="1" applyFont="1" applyFill="1" applyBorder="1"/>
    <xf numFmtId="164" fontId="5" fillId="0" borderId="5" xfId="0" applyNumberFormat="1" applyFont="1" applyBorder="1"/>
    <xf numFmtId="2" fontId="6" fillId="0" borderId="0" xfId="0" applyNumberFormat="1" applyFont="1"/>
    <xf numFmtId="0" fontId="5" fillId="0" borderId="1" xfId="0" applyFont="1" applyBorder="1"/>
    <xf numFmtId="0" fontId="5" fillId="0" borderId="2" xfId="0" applyFont="1" applyBorder="1"/>
    <xf numFmtId="2" fontId="7" fillId="0" borderId="17" xfId="0" applyNumberFormat="1" applyFont="1" applyBorder="1" applyProtection="1">
      <protection locked="0"/>
    </xf>
    <xf numFmtId="0" fontId="5" fillId="0" borderId="13" xfId="0" applyFont="1" applyBorder="1"/>
    <xf numFmtId="0" fontId="5" fillId="0" borderId="14" xfId="0" applyFont="1" applyBorder="1"/>
    <xf numFmtId="2" fontId="7" fillId="0" borderId="15" xfId="0" applyNumberFormat="1" applyFont="1" applyBorder="1" applyProtection="1">
      <protection locked="0"/>
    </xf>
    <xf numFmtId="0" fontId="6" fillId="0" borderId="2" xfId="0" applyFont="1" applyBorder="1"/>
    <xf numFmtId="0" fontId="6" fillId="0" borderId="0" xfId="0" applyFont="1" applyBorder="1"/>
    <xf numFmtId="164" fontId="6" fillId="0" borderId="0" xfId="0" applyNumberFormat="1" applyFont="1"/>
    <xf numFmtId="0" fontId="5" fillId="12" borderId="14" xfId="0" applyFont="1" applyFill="1" applyBorder="1" applyAlignment="1"/>
    <xf numFmtId="0" fontId="8" fillId="12" borderId="14" xfId="0" applyFont="1" applyFill="1" applyBorder="1" applyAlignment="1"/>
    <xf numFmtId="0" fontId="8" fillId="12" borderId="15" xfId="0" applyFont="1" applyFill="1" applyBorder="1" applyAlignment="1"/>
    <xf numFmtId="0" fontId="5" fillId="12" borderId="0" xfId="0" applyFont="1" applyFill="1" applyBorder="1" applyAlignment="1"/>
    <xf numFmtId="0" fontId="8" fillId="12" borderId="0" xfId="0" applyFont="1" applyFill="1" applyBorder="1" applyAlignment="1"/>
    <xf numFmtId="0" fontId="8" fillId="12" borderId="24" xfId="0" applyFont="1" applyFill="1" applyBorder="1" applyAlignment="1"/>
    <xf numFmtId="0" fontId="5" fillId="0" borderId="0" xfId="0" quotePrefix="1" applyFont="1"/>
    <xf numFmtId="0" fontId="5" fillId="8" borderId="1" xfId="0" applyFont="1" applyFill="1" applyBorder="1"/>
    <xf numFmtId="0" fontId="5" fillId="8" borderId="2" xfId="0" applyFont="1" applyFill="1" applyBorder="1"/>
    <xf numFmtId="0" fontId="10" fillId="0" borderId="0" xfId="0" applyFont="1"/>
    <xf numFmtId="0" fontId="5" fillId="10" borderId="13" xfId="0" applyFont="1" applyFill="1" applyBorder="1"/>
    <xf numFmtId="0" fontId="5" fillId="10" borderId="14" xfId="0" applyFont="1" applyFill="1" applyBorder="1"/>
    <xf numFmtId="1" fontId="5" fillId="10" borderId="14" xfId="0" applyNumberFormat="1" applyFont="1" applyFill="1" applyBorder="1"/>
    <xf numFmtId="0" fontId="10" fillId="10" borderId="14" xfId="0" applyFont="1" applyFill="1" applyBorder="1"/>
    <xf numFmtId="2" fontId="5" fillId="10" borderId="14" xfId="0" applyNumberFormat="1" applyFont="1" applyFill="1" applyBorder="1"/>
    <xf numFmtId="0" fontId="6" fillId="10" borderId="14" xfId="0" applyFont="1" applyFill="1" applyBorder="1"/>
    <xf numFmtId="0" fontId="6" fillId="10" borderId="15" xfId="0" applyFont="1" applyFill="1" applyBorder="1"/>
    <xf numFmtId="0" fontId="5" fillId="10" borderId="23" xfId="0" applyFont="1" applyFill="1" applyBorder="1"/>
    <xf numFmtId="0" fontId="5" fillId="10" borderId="0" xfId="0" applyFont="1" applyFill="1" applyBorder="1"/>
    <xf numFmtId="1" fontId="5" fillId="10" borderId="0" xfId="0" applyNumberFormat="1" applyFont="1" applyFill="1" applyBorder="1"/>
    <xf numFmtId="0" fontId="10" fillId="10" borderId="0" xfId="0" applyFont="1" applyFill="1" applyBorder="1"/>
    <xf numFmtId="2" fontId="5" fillId="10" borderId="0" xfId="0" applyNumberFormat="1" applyFont="1" applyFill="1" applyBorder="1"/>
    <xf numFmtId="0" fontId="6" fillId="10" borderId="0" xfId="0" applyFont="1" applyFill="1" applyBorder="1"/>
    <xf numFmtId="0" fontId="6" fillId="10" borderId="24" xfId="0" applyFont="1" applyFill="1" applyBorder="1"/>
    <xf numFmtId="0" fontId="5" fillId="10" borderId="0" xfId="0" applyFont="1" applyFill="1" applyBorder="1" applyAlignment="1">
      <alignment horizontal="center"/>
    </xf>
    <xf numFmtId="0" fontId="5" fillId="10" borderId="24" xfId="0" applyFont="1" applyFill="1" applyBorder="1"/>
    <xf numFmtId="0" fontId="10" fillId="10" borderId="23" xfId="0" applyFont="1" applyFill="1" applyBorder="1"/>
    <xf numFmtId="164" fontId="9" fillId="0" borderId="18" xfId="0" applyNumberFormat="1" applyFont="1" applyFill="1" applyBorder="1" applyAlignment="1" applyProtection="1">
      <alignment horizontal="center"/>
      <protection locked="0"/>
    </xf>
    <xf numFmtId="164" fontId="5" fillId="10" borderId="0" xfId="0" applyNumberFormat="1" applyFont="1" applyFill="1" applyBorder="1" applyAlignment="1">
      <alignment horizontal="center"/>
    </xf>
    <xf numFmtId="0" fontId="10" fillId="10" borderId="0" xfId="0" applyFont="1" applyFill="1" applyBorder="1" applyAlignment="1">
      <alignment horizontal="center"/>
    </xf>
    <xf numFmtId="164" fontId="10" fillId="10" borderId="0" xfId="0" applyNumberFormat="1" applyFont="1" applyFill="1" applyBorder="1"/>
    <xf numFmtId="0" fontId="10" fillId="10" borderId="24" xfId="0" applyFont="1" applyFill="1" applyBorder="1"/>
    <xf numFmtId="164" fontId="7" fillId="0" borderId="18" xfId="0" applyNumberFormat="1" applyFont="1" applyFill="1" applyBorder="1" applyAlignment="1" applyProtection="1">
      <alignment horizontal="center"/>
      <protection locked="0"/>
    </xf>
    <xf numFmtId="0" fontId="6" fillId="10" borderId="23" xfId="0" applyFont="1" applyFill="1" applyBorder="1"/>
    <xf numFmtId="0" fontId="5" fillId="10" borderId="20" xfId="0" applyFont="1" applyFill="1" applyBorder="1"/>
    <xf numFmtId="0" fontId="6" fillId="10" borderId="21" xfId="0" applyFont="1" applyFill="1" applyBorder="1"/>
    <xf numFmtId="164" fontId="5" fillId="10" borderId="21" xfId="0" applyNumberFormat="1" applyFont="1" applyFill="1" applyBorder="1" applyAlignment="1">
      <alignment horizontal="center"/>
    </xf>
    <xf numFmtId="0" fontId="5" fillId="10" borderId="21" xfId="0" applyFont="1" applyFill="1" applyBorder="1"/>
    <xf numFmtId="164" fontId="5" fillId="10" borderId="21" xfId="0" applyNumberFormat="1" applyFont="1" applyFill="1" applyBorder="1"/>
    <xf numFmtId="0" fontId="6" fillId="10" borderId="22" xfId="0" applyFont="1" applyFill="1" applyBorder="1"/>
    <xf numFmtId="0" fontId="6" fillId="0" borderId="0" xfId="0" applyFont="1" applyAlignment="1">
      <alignment horizontal="center"/>
    </xf>
    <xf numFmtId="0" fontId="10" fillId="0" borderId="0" xfId="0" quotePrefix="1" applyFont="1"/>
    <xf numFmtId="164" fontId="10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/>
    </xf>
    <xf numFmtId="0" fontId="6" fillId="0" borderId="0" xfId="0" quotePrefix="1" applyFont="1"/>
    <xf numFmtId="164" fontId="6" fillId="0" borderId="0" xfId="0" applyNumberFormat="1" applyFont="1" applyAlignment="1"/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2" fontId="7" fillId="0" borderId="18" xfId="0" applyNumberFormat="1" applyFont="1" applyFill="1" applyBorder="1" applyProtection="1">
      <protection locked="0"/>
    </xf>
    <xf numFmtId="2" fontId="11" fillId="10" borderId="0" xfId="0" applyNumberFormat="1" applyFont="1" applyFill="1" applyBorder="1" applyAlignment="1">
      <alignment horizontal="center"/>
    </xf>
    <xf numFmtId="164" fontId="2" fillId="0" borderId="19" xfId="0" applyNumberFormat="1" applyFont="1" applyBorder="1"/>
    <xf numFmtId="164" fontId="2" fillId="0" borderId="5" xfId="0" applyNumberFormat="1" applyFont="1" applyBorder="1"/>
    <xf numFmtId="0" fontId="5" fillId="2" borderId="13" xfId="0" applyFont="1" applyFill="1" applyBorder="1" applyAlignment="1"/>
    <xf numFmtId="0" fontId="8" fillId="0" borderId="14" xfId="0" applyFont="1" applyBorder="1" applyAlignment="1"/>
    <xf numFmtId="0" fontId="8" fillId="0" borderId="15" xfId="0" applyFont="1" applyBorder="1" applyAlignment="1"/>
    <xf numFmtId="0" fontId="5" fillId="12" borderId="20" xfId="0" applyFont="1" applyFill="1" applyBorder="1" applyAlignment="1"/>
    <xf numFmtId="0" fontId="8" fillId="12" borderId="21" xfId="0" applyFont="1" applyFill="1" applyBorder="1" applyAlignment="1"/>
    <xf numFmtId="0" fontId="8" fillId="12" borderId="22" xfId="0" applyFont="1" applyFill="1" applyBorder="1" applyAlignment="1"/>
    <xf numFmtId="0" fontId="5" fillId="2" borderId="23" xfId="0" applyFont="1" applyFill="1" applyBorder="1" applyAlignment="1"/>
    <xf numFmtId="0" fontId="8" fillId="0" borderId="0" xfId="0" applyFont="1" applyBorder="1" applyAlignment="1"/>
    <xf numFmtId="0" fontId="8" fillId="0" borderId="24" xfId="0" applyFont="1" applyBorder="1" applyAlignment="1"/>
    <xf numFmtId="0" fontId="5" fillId="2" borderId="20" xfId="0" applyFont="1" applyFill="1" applyBorder="1" applyAlignment="1"/>
    <xf numFmtId="0" fontId="8" fillId="0" borderId="21" xfId="0" applyFont="1" applyBorder="1" applyAlignment="1"/>
    <xf numFmtId="0" fontId="8" fillId="0" borderId="22" xfId="0" applyFont="1" applyBorder="1" applyAlignment="1"/>
    <xf numFmtId="164" fontId="5" fillId="8" borderId="17" xfId="0" applyNumberFormat="1" applyFont="1" applyFill="1" applyBorder="1"/>
    <xf numFmtId="164" fontId="7" fillId="8" borderId="17" xfId="0" applyNumberFormat="1" applyFont="1" applyFill="1" applyBorder="1" applyProtection="1">
      <protection locked="0"/>
    </xf>
    <xf numFmtId="166" fontId="3" fillId="6" borderId="7" xfId="0" applyNumberFormat="1" applyFont="1" applyFill="1" applyBorder="1"/>
    <xf numFmtId="166" fontId="3" fillId="6" borderId="9" xfId="0" applyNumberFormat="1" applyFont="1" applyFill="1" applyBorder="1"/>
    <xf numFmtId="166" fontId="3" fillId="6" borderId="16" xfId="0" applyNumberFormat="1" applyFont="1" applyFill="1" applyBorder="1"/>
    <xf numFmtId="2" fontId="11" fillId="13" borderId="19" xfId="0" applyNumberFormat="1" applyFont="1" applyFill="1" applyBorder="1"/>
    <xf numFmtId="0" fontId="2" fillId="0" borderId="1" xfId="0" applyFont="1" applyBorder="1"/>
    <xf numFmtId="0" fontId="2" fillId="0" borderId="2" xfId="0" applyFont="1" applyBorder="1"/>
    <xf numFmtId="164" fontId="14" fillId="0" borderId="17" xfId="0" applyNumberFormat="1" applyFont="1" applyBorder="1" applyProtection="1">
      <protection locked="0"/>
    </xf>
    <xf numFmtId="0" fontId="1" fillId="0" borderId="2" xfId="0" applyFont="1" applyBorder="1"/>
    <xf numFmtId="0" fontId="2" fillId="0" borderId="2" xfId="0" applyFont="1" applyFill="1" applyBorder="1"/>
    <xf numFmtId="164" fontId="2" fillId="0" borderId="17" xfId="0" applyNumberFormat="1" applyFont="1" applyFill="1" applyBorder="1"/>
    <xf numFmtId="0" fontId="1" fillId="10" borderId="25" xfId="0" applyFont="1" applyFill="1" applyBorder="1"/>
    <xf numFmtId="0" fontId="1" fillId="10" borderId="18" xfId="0" applyFont="1" applyFill="1" applyBorder="1"/>
    <xf numFmtId="0" fontId="14" fillId="0" borderId="25" xfId="0" applyFont="1" applyBorder="1" applyAlignment="1" applyProtection="1">
      <protection locked="0"/>
    </xf>
    <xf numFmtId="0" fontId="1" fillId="0" borderId="26" xfId="0" applyFont="1" applyBorder="1" applyAlignment="1" applyProtection="1">
      <protection locked="0"/>
    </xf>
    <xf numFmtId="0" fontId="1" fillId="0" borderId="27" xfId="0" applyFont="1" applyBorder="1" applyAlignment="1" applyProtection="1">
      <protection locked="0"/>
    </xf>
    <xf numFmtId="2" fontId="1" fillId="10" borderId="25" xfId="0" quotePrefix="1" applyNumberFormat="1" applyFont="1" applyFill="1" applyBorder="1" applyAlignment="1">
      <alignment horizontal="right"/>
    </xf>
    <xf numFmtId="0" fontId="1" fillId="0" borderId="26" xfId="0" applyFont="1" applyBorder="1" applyAlignment="1">
      <alignment horizontal="right"/>
    </xf>
    <xf numFmtId="0" fontId="1" fillId="0" borderId="27" xfId="0" applyFont="1" applyBorder="1" applyAlignment="1">
      <alignment horizontal="right"/>
    </xf>
    <xf numFmtId="164" fontId="1" fillId="0" borderId="0" xfId="0" applyNumberFormat="1" applyFont="1" applyAlignment="1">
      <alignment horizontal="left"/>
    </xf>
    <xf numFmtId="0" fontId="14" fillId="0" borderId="25" xfId="0" quotePrefix="1" applyNumberFormat="1" applyFont="1" applyBorder="1" applyAlignment="1" applyProtection="1">
      <alignment horizontal="right"/>
      <protection locked="0"/>
    </xf>
    <xf numFmtId="0" fontId="1" fillId="0" borderId="26" xfId="0" applyFont="1" applyBorder="1" applyAlignment="1" applyProtection="1">
      <alignment horizontal="right"/>
      <protection locked="0"/>
    </xf>
    <xf numFmtId="0" fontId="1" fillId="0" borderId="27" xfId="0" applyFont="1" applyBorder="1" applyAlignment="1" applyProtection="1">
      <alignment horizontal="right"/>
      <protection locked="0"/>
    </xf>
    <xf numFmtId="0" fontId="1" fillId="10" borderId="25" xfId="0" quotePrefix="1" applyFont="1" applyFill="1" applyBorder="1" applyAlignment="1"/>
    <xf numFmtId="0" fontId="1" fillId="0" borderId="26" xfId="0" applyFont="1" applyBorder="1" applyAlignment="1"/>
    <xf numFmtId="0" fontId="1" fillId="0" borderId="27" xfId="0" applyFont="1" applyBorder="1" applyAlignment="1"/>
    <xf numFmtId="1" fontId="1" fillId="10" borderId="25" xfId="0" quotePrefix="1" applyNumberFormat="1" applyFont="1" applyFill="1" applyBorder="1" applyAlignment="1"/>
    <xf numFmtId="1" fontId="1" fillId="0" borderId="26" xfId="0" applyNumberFormat="1" applyFont="1" applyBorder="1" applyAlignment="1"/>
    <xf numFmtId="1" fontId="1" fillId="0" borderId="27" xfId="0" applyNumberFormat="1" applyFont="1" applyBorder="1" applyAlignment="1"/>
    <xf numFmtId="164" fontId="1" fillId="10" borderId="25" xfId="0" applyNumberFormat="1" applyFont="1" applyFill="1" applyBorder="1"/>
    <xf numFmtId="164" fontId="1" fillId="10" borderId="25" xfId="0" quotePrefix="1" applyNumberFormat="1" applyFont="1" applyFill="1" applyBorder="1" applyAlignment="1"/>
    <xf numFmtId="164" fontId="1" fillId="0" borderId="26" xfId="0" applyNumberFormat="1" applyFont="1" applyBorder="1" applyAlignment="1"/>
    <xf numFmtId="164" fontId="1" fillId="0" borderId="27" xfId="0" applyNumberFormat="1" applyFont="1" applyBorder="1" applyAlignment="1"/>
    <xf numFmtId="0" fontId="14" fillId="0" borderId="25" xfId="0" quotePrefix="1" applyFont="1" applyBorder="1" applyAlignment="1" applyProtection="1">
      <protection locked="0"/>
    </xf>
    <xf numFmtId="176" fontId="14" fillId="0" borderId="25" xfId="0" quotePrefix="1" applyNumberFormat="1" applyFont="1" applyBorder="1" applyAlignment="1" applyProtection="1">
      <protection locked="0"/>
    </xf>
    <xf numFmtId="176" fontId="1" fillId="0" borderId="26" xfId="0" applyNumberFormat="1" applyFont="1" applyBorder="1" applyAlignment="1" applyProtection="1">
      <protection locked="0"/>
    </xf>
    <xf numFmtId="176" fontId="1" fillId="0" borderId="27" xfId="0" applyNumberFormat="1" applyFont="1" applyBorder="1" applyAlignmen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microsoft.com/office/2006/relationships/vbaProject" Target="vbaProject.bin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Horn Expansion</a:t>
            </a:r>
          </a:p>
        </c:rich>
      </c:tx>
      <c:layout>
        <c:manualLayout>
          <c:xMode val="edge"/>
          <c:yMode val="edge"/>
          <c:x val="0.4261744966442953"/>
          <c:y val="3.361310605405093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577181208053691"/>
          <c:y val="0.11484625253373526"/>
          <c:w val="0.83557046979865768"/>
          <c:h val="0.75630458985630544"/>
        </c:manualLayout>
      </c:layout>
      <c:scatterChart>
        <c:scatterStyle val="lineMarker"/>
        <c:varyColors val="0"/>
        <c:ser>
          <c:idx val="0"/>
          <c:order val="0"/>
          <c:tx>
            <c:v>Area 1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Path!$N$28:$N$73</c:f>
              <c:numCache>
                <c:formatCode>0.0</c:formatCode>
                <c:ptCount val="4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18.145115769111761</c:v>
                </c:pt>
                <c:pt idx="4">
                  <c:v>18.145115769111761</c:v>
                </c:pt>
                <c:pt idx="5">
                  <c:v>18.145115769111761</c:v>
                </c:pt>
                <c:pt idx="6">
                  <c:v>101.07575703659364</c:v>
                </c:pt>
                <c:pt idx="7">
                  <c:v>101.07575703659364</c:v>
                </c:pt>
                <c:pt idx="8">
                  <c:v>101.07575703659364</c:v>
                </c:pt>
                <c:pt idx="9">
                  <c:v>105.23111753718095</c:v>
                </c:pt>
                <c:pt idx="10">
                  <c:v>105.23111753718095</c:v>
                </c:pt>
                <c:pt idx="11">
                  <c:v>105.23111753718095</c:v>
                </c:pt>
                <c:pt idx="12">
                  <c:v>111.16495585533842</c:v>
                </c:pt>
                <c:pt idx="13">
                  <c:v>111.16495585533842</c:v>
                </c:pt>
                <c:pt idx="14">
                  <c:v>111.16495585533842</c:v>
                </c:pt>
                <c:pt idx="15">
                  <c:v>115.4009228401239</c:v>
                </c:pt>
                <c:pt idx="16">
                  <c:v>115.4009228401239</c:v>
                </c:pt>
                <c:pt idx="17">
                  <c:v>115.4009228401239</c:v>
                </c:pt>
                <c:pt idx="18">
                  <c:v>117.30937786734231</c:v>
                </c:pt>
                <c:pt idx="19">
                  <c:v>117.30937786734231</c:v>
                </c:pt>
                <c:pt idx="20">
                  <c:v>117.30937786734231</c:v>
                </c:pt>
                <c:pt idx="21">
                  <c:v>121.62555043037295</c:v>
                </c:pt>
                <c:pt idx="22">
                  <c:v>121.62555043037295</c:v>
                </c:pt>
                <c:pt idx="23">
                  <c:v>121.62555043037295</c:v>
                </c:pt>
                <c:pt idx="24">
                  <c:v>128.13994232658669</c:v>
                </c:pt>
                <c:pt idx="25">
                  <c:v>128.13994232658669</c:v>
                </c:pt>
                <c:pt idx="26">
                  <c:v>128.13994232658669</c:v>
                </c:pt>
                <c:pt idx="27">
                  <c:v>132.68498436615127</c:v>
                </c:pt>
                <c:pt idx="28">
                  <c:v>132.68498436615127</c:v>
                </c:pt>
                <c:pt idx="29">
                  <c:v>132.68498436615127</c:v>
                </c:pt>
                <c:pt idx="30">
                  <c:v>205.96646234416971</c:v>
                </c:pt>
                <c:pt idx="31">
                  <c:v>205.96646234416971</c:v>
                </c:pt>
                <c:pt idx="32">
                  <c:v>205.96646234416971</c:v>
                </c:pt>
                <c:pt idx="33">
                  <c:v>212.88070601510088</c:v>
                </c:pt>
                <c:pt idx="34">
                  <c:v>212.88070601510088</c:v>
                </c:pt>
                <c:pt idx="35">
                  <c:v>212.88070601510088</c:v>
                </c:pt>
                <c:pt idx="36">
                  <c:v>222.29828763946483</c:v>
                </c:pt>
                <c:pt idx="37">
                  <c:v>222.29828763946483</c:v>
                </c:pt>
                <c:pt idx="38">
                  <c:v>222.29828763946483</c:v>
                </c:pt>
                <c:pt idx="39">
                  <c:v>228.18160120193201</c:v>
                </c:pt>
                <c:pt idx="40">
                  <c:v>228.18160120193201</c:v>
                </c:pt>
                <c:pt idx="41">
                  <c:v>228.18160120193201</c:v>
                </c:pt>
                <c:pt idx="42">
                  <c:v>228.71645052381729</c:v>
                </c:pt>
                <c:pt idx="43">
                  <c:v>228.71645052381729</c:v>
                </c:pt>
                <c:pt idx="44">
                  <c:v>228.71645052381729</c:v>
                </c:pt>
                <c:pt idx="45">
                  <c:v>230.62645052381728</c:v>
                </c:pt>
              </c:numCache>
            </c:numRef>
          </c:xVal>
          <c:yVal>
            <c:numRef>
              <c:f>Path!$P$28:$P$73</c:f>
              <c:numCache>
                <c:formatCode>0</c:formatCode>
                <c:ptCount val="46"/>
                <c:pt idx="0">
                  <c:v>129.99925814741408</c:v>
                </c:pt>
                <c:pt idx="1">
                  <c:v>129.99925814741408</c:v>
                </c:pt>
                <c:pt idx="2">
                  <c:v>129.99925814741408</c:v>
                </c:pt>
                <c:pt idx="3">
                  <c:v>156.06838859979166</c:v>
                </c:pt>
                <c:pt idx="4">
                  <c:v>156.06838859979166</c:v>
                </c:pt>
                <c:pt idx="5">
                  <c:v>156.06838859979166</c:v>
                </c:pt>
                <c:pt idx="6">
                  <c:v>264.74141103338775</c:v>
                </c:pt>
                <c:pt idx="7">
                  <c:v>264.74141103338775</c:v>
                </c:pt>
                <c:pt idx="8">
                  <c:v>264.74141103338775</c:v>
                </c:pt>
                <c:pt idx="9">
                  <c:v>302.11674461257428</c:v>
                </c:pt>
                <c:pt idx="10">
                  <c:v>302.11674461257428</c:v>
                </c:pt>
                <c:pt idx="11">
                  <c:v>302.11674461257428</c:v>
                </c:pt>
                <c:pt idx="12">
                  <c:v>308.42563628041489</c:v>
                </c:pt>
                <c:pt idx="13">
                  <c:v>308.42563628041489</c:v>
                </c:pt>
                <c:pt idx="14">
                  <c:v>308.42563628041489</c:v>
                </c:pt>
                <c:pt idx="15">
                  <c:v>281.47090834656694</c:v>
                </c:pt>
                <c:pt idx="16">
                  <c:v>281.47090834656694</c:v>
                </c:pt>
                <c:pt idx="17">
                  <c:v>281.47090834656694</c:v>
                </c:pt>
                <c:pt idx="18">
                  <c:v>283.97176415591099</c:v>
                </c:pt>
                <c:pt idx="19">
                  <c:v>283.97176415591099</c:v>
                </c:pt>
                <c:pt idx="20">
                  <c:v>283.97176415591099</c:v>
                </c:pt>
                <c:pt idx="21">
                  <c:v>321.86890528338927</c:v>
                </c:pt>
                <c:pt idx="22">
                  <c:v>321.86890528338927</c:v>
                </c:pt>
                <c:pt idx="23">
                  <c:v>321.86890528338927</c:v>
                </c:pt>
                <c:pt idx="24">
                  <c:v>332.85085114381292</c:v>
                </c:pt>
                <c:pt idx="25">
                  <c:v>332.85085114381292</c:v>
                </c:pt>
                <c:pt idx="26">
                  <c:v>332.85085114381292</c:v>
                </c:pt>
                <c:pt idx="27">
                  <c:v>304.15412869658957</c:v>
                </c:pt>
                <c:pt idx="28">
                  <c:v>304.15412869658957</c:v>
                </c:pt>
                <c:pt idx="29">
                  <c:v>304.15412869658957</c:v>
                </c:pt>
                <c:pt idx="30">
                  <c:v>400.18280493202752</c:v>
                </c:pt>
                <c:pt idx="31">
                  <c:v>400.18280493202752</c:v>
                </c:pt>
                <c:pt idx="32">
                  <c:v>400.18280493202752</c:v>
                </c:pt>
                <c:pt idx="33">
                  <c:v>466.98461007511662</c:v>
                </c:pt>
                <c:pt idx="34">
                  <c:v>466.98461007511662</c:v>
                </c:pt>
                <c:pt idx="35">
                  <c:v>466.98461007511662</c:v>
                </c:pt>
                <c:pt idx="36">
                  <c:v>480.52649537717997</c:v>
                </c:pt>
                <c:pt idx="37">
                  <c:v>480.52649537717997</c:v>
                </c:pt>
                <c:pt idx="38">
                  <c:v>480.52649537717997</c:v>
                </c:pt>
                <c:pt idx="39">
                  <c:v>433.05689396288733</c:v>
                </c:pt>
                <c:pt idx="40">
                  <c:v>433.05689396288733</c:v>
                </c:pt>
                <c:pt idx="41">
                  <c:v>433.05689396288733</c:v>
                </c:pt>
                <c:pt idx="42">
                  <c:v>432.70660018589479</c:v>
                </c:pt>
                <c:pt idx="43">
                  <c:v>432.70660018589479</c:v>
                </c:pt>
                <c:pt idx="44">
                  <c:v>432.70660018589479</c:v>
                </c:pt>
                <c:pt idx="45">
                  <c:v>432.70660018589479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898-49AA-94AA-7BF0EB2EA4B8}"/>
            </c:ext>
          </c:extLst>
        </c:ser>
        <c:ser>
          <c:idx val="1"/>
          <c:order val="1"/>
          <c:tx>
            <c:v>Area 2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Path!$N$28:$N$73</c:f>
              <c:numCache>
                <c:formatCode>0.0</c:formatCode>
                <c:ptCount val="4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18.145115769111761</c:v>
                </c:pt>
                <c:pt idx="4">
                  <c:v>18.145115769111761</c:v>
                </c:pt>
                <c:pt idx="5">
                  <c:v>18.145115769111761</c:v>
                </c:pt>
                <c:pt idx="6">
                  <c:v>101.07575703659364</c:v>
                </c:pt>
                <c:pt idx="7">
                  <c:v>101.07575703659364</c:v>
                </c:pt>
                <c:pt idx="8">
                  <c:v>101.07575703659364</c:v>
                </c:pt>
                <c:pt idx="9">
                  <c:v>105.23111753718095</c:v>
                </c:pt>
                <c:pt idx="10">
                  <c:v>105.23111753718095</c:v>
                </c:pt>
                <c:pt idx="11">
                  <c:v>105.23111753718095</c:v>
                </c:pt>
                <c:pt idx="12">
                  <c:v>111.16495585533842</c:v>
                </c:pt>
                <c:pt idx="13">
                  <c:v>111.16495585533842</c:v>
                </c:pt>
                <c:pt idx="14">
                  <c:v>111.16495585533842</c:v>
                </c:pt>
                <c:pt idx="15">
                  <c:v>115.4009228401239</c:v>
                </c:pt>
                <c:pt idx="16">
                  <c:v>115.4009228401239</c:v>
                </c:pt>
                <c:pt idx="17">
                  <c:v>115.4009228401239</c:v>
                </c:pt>
                <c:pt idx="18">
                  <c:v>117.30937786734231</c:v>
                </c:pt>
                <c:pt idx="19">
                  <c:v>117.30937786734231</c:v>
                </c:pt>
                <c:pt idx="20">
                  <c:v>117.30937786734231</c:v>
                </c:pt>
                <c:pt idx="21">
                  <c:v>121.62555043037295</c:v>
                </c:pt>
                <c:pt idx="22">
                  <c:v>121.62555043037295</c:v>
                </c:pt>
                <c:pt idx="23">
                  <c:v>121.62555043037295</c:v>
                </c:pt>
                <c:pt idx="24">
                  <c:v>128.13994232658669</c:v>
                </c:pt>
                <c:pt idx="25">
                  <c:v>128.13994232658669</c:v>
                </c:pt>
                <c:pt idx="26">
                  <c:v>128.13994232658669</c:v>
                </c:pt>
                <c:pt idx="27">
                  <c:v>132.68498436615127</c:v>
                </c:pt>
                <c:pt idx="28">
                  <c:v>132.68498436615127</c:v>
                </c:pt>
                <c:pt idx="29">
                  <c:v>132.68498436615127</c:v>
                </c:pt>
                <c:pt idx="30">
                  <c:v>205.96646234416971</c:v>
                </c:pt>
                <c:pt idx="31">
                  <c:v>205.96646234416971</c:v>
                </c:pt>
                <c:pt idx="32">
                  <c:v>205.96646234416971</c:v>
                </c:pt>
                <c:pt idx="33">
                  <c:v>212.88070601510088</c:v>
                </c:pt>
                <c:pt idx="34">
                  <c:v>212.88070601510088</c:v>
                </c:pt>
                <c:pt idx="35">
                  <c:v>212.88070601510088</c:v>
                </c:pt>
                <c:pt idx="36">
                  <c:v>222.29828763946483</c:v>
                </c:pt>
                <c:pt idx="37">
                  <c:v>222.29828763946483</c:v>
                </c:pt>
                <c:pt idx="38">
                  <c:v>222.29828763946483</c:v>
                </c:pt>
                <c:pt idx="39">
                  <c:v>228.18160120193201</c:v>
                </c:pt>
                <c:pt idx="40">
                  <c:v>228.18160120193201</c:v>
                </c:pt>
                <c:pt idx="41">
                  <c:v>228.18160120193201</c:v>
                </c:pt>
                <c:pt idx="42">
                  <c:v>228.71645052381729</c:v>
                </c:pt>
                <c:pt idx="43">
                  <c:v>228.71645052381729</c:v>
                </c:pt>
                <c:pt idx="44">
                  <c:v>228.71645052381729</c:v>
                </c:pt>
                <c:pt idx="45">
                  <c:v>230.62645052381728</c:v>
                </c:pt>
              </c:numCache>
            </c:numRef>
          </c:xVal>
          <c:yVal>
            <c:numRef>
              <c:f>Path!$Q$28:$Q$73</c:f>
              <c:numCache>
                <c:formatCode>0</c:formatCode>
                <c:ptCount val="46"/>
                <c:pt idx="0">
                  <c:v>-129.99925814741408</c:v>
                </c:pt>
                <c:pt idx="1">
                  <c:v>-129.99925814741408</c:v>
                </c:pt>
                <c:pt idx="2">
                  <c:v>-129.99925814741408</c:v>
                </c:pt>
                <c:pt idx="3">
                  <c:v>-156.06838859979166</c:v>
                </c:pt>
                <c:pt idx="4">
                  <c:v>-156.06838859979166</c:v>
                </c:pt>
                <c:pt idx="5">
                  <c:v>-156.06838859979166</c:v>
                </c:pt>
                <c:pt idx="6">
                  <c:v>-264.74141103338775</c:v>
                </c:pt>
                <c:pt idx="7">
                  <c:v>-264.74141103338775</c:v>
                </c:pt>
                <c:pt idx="8">
                  <c:v>-264.74141103338775</c:v>
                </c:pt>
                <c:pt idx="9">
                  <c:v>-302.11674461257428</c:v>
                </c:pt>
                <c:pt idx="10">
                  <c:v>-302.11674461257428</c:v>
                </c:pt>
                <c:pt idx="11">
                  <c:v>-302.11674461257428</c:v>
                </c:pt>
                <c:pt idx="12">
                  <c:v>-308.42563628041489</c:v>
                </c:pt>
                <c:pt idx="13">
                  <c:v>-308.42563628041489</c:v>
                </c:pt>
                <c:pt idx="14">
                  <c:v>-308.42563628041489</c:v>
                </c:pt>
                <c:pt idx="15">
                  <c:v>-281.47090834656694</c:v>
                </c:pt>
                <c:pt idx="16">
                  <c:v>-281.47090834656694</c:v>
                </c:pt>
                <c:pt idx="17">
                  <c:v>-281.47090834656694</c:v>
                </c:pt>
                <c:pt idx="18">
                  <c:v>-283.97176415591099</c:v>
                </c:pt>
                <c:pt idx="19">
                  <c:v>-283.97176415591099</c:v>
                </c:pt>
                <c:pt idx="20">
                  <c:v>-283.97176415591099</c:v>
                </c:pt>
                <c:pt idx="21">
                  <c:v>-321.86890528338927</c:v>
                </c:pt>
                <c:pt idx="22">
                  <c:v>-321.86890528338927</c:v>
                </c:pt>
                <c:pt idx="23">
                  <c:v>-321.86890528338927</c:v>
                </c:pt>
                <c:pt idx="24">
                  <c:v>-332.85085114381292</c:v>
                </c:pt>
                <c:pt idx="25">
                  <c:v>-332.85085114381292</c:v>
                </c:pt>
                <c:pt idx="26">
                  <c:v>-332.85085114381292</c:v>
                </c:pt>
                <c:pt idx="27">
                  <c:v>-304.15412869658957</c:v>
                </c:pt>
                <c:pt idx="28">
                  <c:v>-304.15412869658957</c:v>
                </c:pt>
                <c:pt idx="29">
                  <c:v>-304.15412869658957</c:v>
                </c:pt>
                <c:pt idx="30">
                  <c:v>-400.18280493202752</c:v>
                </c:pt>
                <c:pt idx="31">
                  <c:v>-400.18280493202752</c:v>
                </c:pt>
                <c:pt idx="32">
                  <c:v>-400.18280493202752</c:v>
                </c:pt>
                <c:pt idx="33">
                  <c:v>-466.98461007511662</c:v>
                </c:pt>
                <c:pt idx="34">
                  <c:v>-466.98461007511662</c:v>
                </c:pt>
                <c:pt idx="35">
                  <c:v>-466.98461007511662</c:v>
                </c:pt>
                <c:pt idx="36">
                  <c:v>-480.52649537717997</c:v>
                </c:pt>
                <c:pt idx="37">
                  <c:v>-480.52649537717997</c:v>
                </c:pt>
                <c:pt idx="38">
                  <c:v>-480.52649537717997</c:v>
                </c:pt>
                <c:pt idx="39">
                  <c:v>-433.05689396288733</c:v>
                </c:pt>
                <c:pt idx="40">
                  <c:v>-433.05689396288733</c:v>
                </c:pt>
                <c:pt idx="41">
                  <c:v>-433.05689396288733</c:v>
                </c:pt>
                <c:pt idx="42">
                  <c:v>-432.70660018589479</c:v>
                </c:pt>
                <c:pt idx="43">
                  <c:v>-432.70660018589479</c:v>
                </c:pt>
                <c:pt idx="44">
                  <c:v>-432.70660018589479</c:v>
                </c:pt>
                <c:pt idx="45">
                  <c:v>-432.70660018589479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898-49AA-94AA-7BF0EB2EA4B8}"/>
            </c:ext>
          </c:extLst>
        </c:ser>
        <c:ser>
          <c:idx val="2"/>
          <c:order val="2"/>
          <c:tx>
            <c:v>Area 3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Path!$N$28:$N$73</c:f>
              <c:numCache>
                <c:formatCode>0.0</c:formatCode>
                <c:ptCount val="4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18.145115769111761</c:v>
                </c:pt>
                <c:pt idx="4">
                  <c:v>18.145115769111761</c:v>
                </c:pt>
                <c:pt idx="5">
                  <c:v>18.145115769111761</c:v>
                </c:pt>
                <c:pt idx="6">
                  <c:v>101.07575703659364</c:v>
                </c:pt>
                <c:pt idx="7">
                  <c:v>101.07575703659364</c:v>
                </c:pt>
                <c:pt idx="8">
                  <c:v>101.07575703659364</c:v>
                </c:pt>
                <c:pt idx="9">
                  <c:v>105.23111753718095</c:v>
                </c:pt>
                <c:pt idx="10">
                  <c:v>105.23111753718095</c:v>
                </c:pt>
                <c:pt idx="11">
                  <c:v>105.23111753718095</c:v>
                </c:pt>
                <c:pt idx="12">
                  <c:v>111.16495585533842</c:v>
                </c:pt>
                <c:pt idx="13">
                  <c:v>111.16495585533842</c:v>
                </c:pt>
                <c:pt idx="14">
                  <c:v>111.16495585533842</c:v>
                </c:pt>
                <c:pt idx="15">
                  <c:v>115.4009228401239</c:v>
                </c:pt>
                <c:pt idx="16">
                  <c:v>115.4009228401239</c:v>
                </c:pt>
                <c:pt idx="17">
                  <c:v>115.4009228401239</c:v>
                </c:pt>
                <c:pt idx="18">
                  <c:v>117.30937786734231</c:v>
                </c:pt>
                <c:pt idx="19">
                  <c:v>117.30937786734231</c:v>
                </c:pt>
                <c:pt idx="20">
                  <c:v>117.30937786734231</c:v>
                </c:pt>
                <c:pt idx="21">
                  <c:v>121.62555043037295</c:v>
                </c:pt>
                <c:pt idx="22">
                  <c:v>121.62555043037295</c:v>
                </c:pt>
                <c:pt idx="23">
                  <c:v>121.62555043037295</c:v>
                </c:pt>
                <c:pt idx="24">
                  <c:v>128.13994232658669</c:v>
                </c:pt>
                <c:pt idx="25">
                  <c:v>128.13994232658669</c:v>
                </c:pt>
                <c:pt idx="26">
                  <c:v>128.13994232658669</c:v>
                </c:pt>
                <c:pt idx="27">
                  <c:v>132.68498436615127</c:v>
                </c:pt>
                <c:pt idx="28">
                  <c:v>132.68498436615127</c:v>
                </c:pt>
                <c:pt idx="29">
                  <c:v>132.68498436615127</c:v>
                </c:pt>
                <c:pt idx="30">
                  <c:v>205.96646234416971</c:v>
                </c:pt>
                <c:pt idx="31">
                  <c:v>205.96646234416971</c:v>
                </c:pt>
                <c:pt idx="32">
                  <c:v>205.96646234416971</c:v>
                </c:pt>
                <c:pt idx="33">
                  <c:v>212.88070601510088</c:v>
                </c:pt>
                <c:pt idx="34">
                  <c:v>212.88070601510088</c:v>
                </c:pt>
                <c:pt idx="35">
                  <c:v>212.88070601510088</c:v>
                </c:pt>
                <c:pt idx="36">
                  <c:v>222.29828763946483</c:v>
                </c:pt>
                <c:pt idx="37">
                  <c:v>222.29828763946483</c:v>
                </c:pt>
                <c:pt idx="38">
                  <c:v>222.29828763946483</c:v>
                </c:pt>
                <c:pt idx="39">
                  <c:v>228.18160120193201</c:v>
                </c:pt>
                <c:pt idx="40">
                  <c:v>228.18160120193201</c:v>
                </c:pt>
                <c:pt idx="41">
                  <c:v>228.18160120193201</c:v>
                </c:pt>
                <c:pt idx="42">
                  <c:v>228.71645052381729</c:v>
                </c:pt>
                <c:pt idx="43">
                  <c:v>228.71645052381729</c:v>
                </c:pt>
                <c:pt idx="44">
                  <c:v>228.71645052381729</c:v>
                </c:pt>
                <c:pt idx="45">
                  <c:v>230.62645052381728</c:v>
                </c:pt>
              </c:numCache>
            </c:numRef>
          </c:xVal>
          <c:yVal>
            <c:numRef>
              <c:f>Path!$S$28:$S$73</c:f>
              <c:numCache>
                <c:formatCode>0</c:formatCode>
                <c:ptCount val="46"/>
                <c:pt idx="0">
                  <c:v>129.99925814741408</c:v>
                </c:pt>
                <c:pt idx="1">
                  <c:v>129.99925814741408</c:v>
                </c:pt>
                <c:pt idx="2">
                  <c:v>129.99925814741408</c:v>
                </c:pt>
                <c:pt idx="3">
                  <c:v>153.81551926131917</c:v>
                </c:pt>
                <c:pt idx="4">
                  <c:v>153.81551926131917</c:v>
                </c:pt>
                <c:pt idx="5">
                  <c:v>153.81551926131917</c:v>
                </c:pt>
                <c:pt idx="6">
                  <c:v>262.66562702046224</c:v>
                </c:pt>
                <c:pt idx="7">
                  <c:v>262.66562702046224</c:v>
                </c:pt>
                <c:pt idx="8">
                  <c:v>262.66562702046224</c:v>
                </c:pt>
                <c:pt idx="9">
                  <c:v>268.119720119877</c:v>
                </c:pt>
                <c:pt idx="10">
                  <c:v>268.119720119877</c:v>
                </c:pt>
                <c:pt idx="11">
                  <c:v>268.119720119877</c:v>
                </c:pt>
                <c:pt idx="12">
                  <c:v>275.90814343947375</c:v>
                </c:pt>
                <c:pt idx="13">
                  <c:v>275.90814343947375</c:v>
                </c:pt>
                <c:pt idx="14">
                  <c:v>275.90814343947375</c:v>
                </c:pt>
                <c:pt idx="15">
                  <c:v>281.46803608845141</c:v>
                </c:pt>
                <c:pt idx="16">
                  <c:v>281.46803608845141</c:v>
                </c:pt>
                <c:pt idx="17">
                  <c:v>281.46803608845141</c:v>
                </c:pt>
                <c:pt idx="18">
                  <c:v>283.97296710298656</c:v>
                </c:pt>
                <c:pt idx="19">
                  <c:v>283.97296710298656</c:v>
                </c:pt>
                <c:pt idx="20">
                  <c:v>283.97296710298656</c:v>
                </c:pt>
                <c:pt idx="21">
                  <c:v>289.6381330948617</c:v>
                </c:pt>
                <c:pt idx="22">
                  <c:v>289.6381330948617</c:v>
                </c:pt>
                <c:pt idx="23">
                  <c:v>289.6381330948617</c:v>
                </c:pt>
                <c:pt idx="24">
                  <c:v>298.18855847504261</c:v>
                </c:pt>
                <c:pt idx="25">
                  <c:v>298.18855847504261</c:v>
                </c:pt>
                <c:pt idx="26">
                  <c:v>298.18855847504261</c:v>
                </c:pt>
                <c:pt idx="27">
                  <c:v>304.1541257034541</c:v>
                </c:pt>
                <c:pt idx="28">
                  <c:v>304.1541257034541</c:v>
                </c:pt>
                <c:pt idx="29">
                  <c:v>304.1541257034541</c:v>
                </c:pt>
                <c:pt idx="30">
                  <c:v>400.33928299566395</c:v>
                </c:pt>
                <c:pt idx="31">
                  <c:v>400.33928299566395</c:v>
                </c:pt>
                <c:pt idx="32">
                  <c:v>400.33928299566395</c:v>
                </c:pt>
                <c:pt idx="33">
                  <c:v>409.41453138577788</c:v>
                </c:pt>
                <c:pt idx="34">
                  <c:v>409.41453138577788</c:v>
                </c:pt>
                <c:pt idx="35">
                  <c:v>409.41453138577788</c:v>
                </c:pt>
                <c:pt idx="36">
                  <c:v>421.77552074960306</c:v>
                </c:pt>
                <c:pt idx="37">
                  <c:v>421.77552074960306</c:v>
                </c:pt>
                <c:pt idx="38">
                  <c:v>421.77552074960306</c:v>
                </c:pt>
                <c:pt idx="39">
                  <c:v>429.49762810905122</c:v>
                </c:pt>
                <c:pt idx="40">
                  <c:v>429.49762810905122</c:v>
                </c:pt>
                <c:pt idx="41">
                  <c:v>429.49762810905122</c:v>
                </c:pt>
                <c:pt idx="42">
                  <c:v>430.1996413267513</c:v>
                </c:pt>
                <c:pt idx="43">
                  <c:v>430.1996413267513</c:v>
                </c:pt>
                <c:pt idx="44">
                  <c:v>430.1996413267513</c:v>
                </c:pt>
                <c:pt idx="45">
                  <c:v>432.70660018589479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1898-49AA-94AA-7BF0EB2EA4B8}"/>
            </c:ext>
          </c:extLst>
        </c:ser>
        <c:ser>
          <c:idx val="3"/>
          <c:order val="3"/>
          <c:tx>
            <c:v>Area 4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Path!$N$28:$N$73</c:f>
              <c:numCache>
                <c:formatCode>0.0</c:formatCode>
                <c:ptCount val="4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18.145115769111761</c:v>
                </c:pt>
                <c:pt idx="4">
                  <c:v>18.145115769111761</c:v>
                </c:pt>
                <c:pt idx="5">
                  <c:v>18.145115769111761</c:v>
                </c:pt>
                <c:pt idx="6">
                  <c:v>101.07575703659364</c:v>
                </c:pt>
                <c:pt idx="7">
                  <c:v>101.07575703659364</c:v>
                </c:pt>
                <c:pt idx="8">
                  <c:v>101.07575703659364</c:v>
                </c:pt>
                <c:pt idx="9">
                  <c:v>105.23111753718095</c:v>
                </c:pt>
                <c:pt idx="10">
                  <c:v>105.23111753718095</c:v>
                </c:pt>
                <c:pt idx="11">
                  <c:v>105.23111753718095</c:v>
                </c:pt>
                <c:pt idx="12">
                  <c:v>111.16495585533842</c:v>
                </c:pt>
                <c:pt idx="13">
                  <c:v>111.16495585533842</c:v>
                </c:pt>
                <c:pt idx="14">
                  <c:v>111.16495585533842</c:v>
                </c:pt>
                <c:pt idx="15">
                  <c:v>115.4009228401239</c:v>
                </c:pt>
                <c:pt idx="16">
                  <c:v>115.4009228401239</c:v>
                </c:pt>
                <c:pt idx="17">
                  <c:v>115.4009228401239</c:v>
                </c:pt>
                <c:pt idx="18">
                  <c:v>117.30937786734231</c:v>
                </c:pt>
                <c:pt idx="19">
                  <c:v>117.30937786734231</c:v>
                </c:pt>
                <c:pt idx="20">
                  <c:v>117.30937786734231</c:v>
                </c:pt>
                <c:pt idx="21">
                  <c:v>121.62555043037295</c:v>
                </c:pt>
                <c:pt idx="22">
                  <c:v>121.62555043037295</c:v>
                </c:pt>
                <c:pt idx="23">
                  <c:v>121.62555043037295</c:v>
                </c:pt>
                <c:pt idx="24">
                  <c:v>128.13994232658669</c:v>
                </c:pt>
                <c:pt idx="25">
                  <c:v>128.13994232658669</c:v>
                </c:pt>
                <c:pt idx="26">
                  <c:v>128.13994232658669</c:v>
                </c:pt>
                <c:pt idx="27">
                  <c:v>132.68498436615127</c:v>
                </c:pt>
                <c:pt idx="28">
                  <c:v>132.68498436615127</c:v>
                </c:pt>
                <c:pt idx="29">
                  <c:v>132.68498436615127</c:v>
                </c:pt>
                <c:pt idx="30">
                  <c:v>205.96646234416971</c:v>
                </c:pt>
                <c:pt idx="31">
                  <c:v>205.96646234416971</c:v>
                </c:pt>
                <c:pt idx="32">
                  <c:v>205.96646234416971</c:v>
                </c:pt>
                <c:pt idx="33">
                  <c:v>212.88070601510088</c:v>
                </c:pt>
                <c:pt idx="34">
                  <c:v>212.88070601510088</c:v>
                </c:pt>
                <c:pt idx="35">
                  <c:v>212.88070601510088</c:v>
                </c:pt>
                <c:pt idx="36">
                  <c:v>222.29828763946483</c:v>
                </c:pt>
                <c:pt idx="37">
                  <c:v>222.29828763946483</c:v>
                </c:pt>
                <c:pt idx="38">
                  <c:v>222.29828763946483</c:v>
                </c:pt>
                <c:pt idx="39">
                  <c:v>228.18160120193201</c:v>
                </c:pt>
                <c:pt idx="40">
                  <c:v>228.18160120193201</c:v>
                </c:pt>
                <c:pt idx="41">
                  <c:v>228.18160120193201</c:v>
                </c:pt>
                <c:pt idx="42">
                  <c:v>228.71645052381729</c:v>
                </c:pt>
                <c:pt idx="43">
                  <c:v>228.71645052381729</c:v>
                </c:pt>
                <c:pt idx="44">
                  <c:v>228.71645052381729</c:v>
                </c:pt>
                <c:pt idx="45">
                  <c:v>230.62645052381728</c:v>
                </c:pt>
              </c:numCache>
            </c:numRef>
          </c:xVal>
          <c:yVal>
            <c:numRef>
              <c:f>Path!$T$28:$T$73</c:f>
              <c:numCache>
                <c:formatCode>0</c:formatCode>
                <c:ptCount val="46"/>
                <c:pt idx="0">
                  <c:v>-129.99925814741408</c:v>
                </c:pt>
                <c:pt idx="1">
                  <c:v>-129.99925814741408</c:v>
                </c:pt>
                <c:pt idx="2">
                  <c:v>-129.99925814741408</c:v>
                </c:pt>
                <c:pt idx="3">
                  <c:v>-153.81551926131917</c:v>
                </c:pt>
                <c:pt idx="4">
                  <c:v>-153.81551926131917</c:v>
                </c:pt>
                <c:pt idx="5">
                  <c:v>-153.81551926131917</c:v>
                </c:pt>
                <c:pt idx="6">
                  <c:v>-262.66562702046224</c:v>
                </c:pt>
                <c:pt idx="7">
                  <c:v>-262.66562702046224</c:v>
                </c:pt>
                <c:pt idx="8">
                  <c:v>-262.66562702046224</c:v>
                </c:pt>
                <c:pt idx="9">
                  <c:v>-268.119720119877</c:v>
                </c:pt>
                <c:pt idx="10">
                  <c:v>-268.119720119877</c:v>
                </c:pt>
                <c:pt idx="11">
                  <c:v>-268.119720119877</c:v>
                </c:pt>
                <c:pt idx="12">
                  <c:v>-275.90814343947375</c:v>
                </c:pt>
                <c:pt idx="13">
                  <c:v>-275.90814343947375</c:v>
                </c:pt>
                <c:pt idx="14">
                  <c:v>-275.90814343947375</c:v>
                </c:pt>
                <c:pt idx="15">
                  <c:v>-281.46803608845141</c:v>
                </c:pt>
                <c:pt idx="16">
                  <c:v>-281.46803608845141</c:v>
                </c:pt>
                <c:pt idx="17">
                  <c:v>-281.46803608845141</c:v>
                </c:pt>
                <c:pt idx="18">
                  <c:v>-283.97296710298656</c:v>
                </c:pt>
                <c:pt idx="19">
                  <c:v>-283.97296710298656</c:v>
                </c:pt>
                <c:pt idx="20">
                  <c:v>-283.97296710298656</c:v>
                </c:pt>
                <c:pt idx="21">
                  <c:v>-289.6381330948617</c:v>
                </c:pt>
                <c:pt idx="22">
                  <c:v>-289.6381330948617</c:v>
                </c:pt>
                <c:pt idx="23">
                  <c:v>-289.6381330948617</c:v>
                </c:pt>
                <c:pt idx="24">
                  <c:v>-298.18855847504261</c:v>
                </c:pt>
                <c:pt idx="25">
                  <c:v>-298.18855847504261</c:v>
                </c:pt>
                <c:pt idx="26">
                  <c:v>-298.18855847504261</c:v>
                </c:pt>
                <c:pt idx="27">
                  <c:v>-304.1541257034541</c:v>
                </c:pt>
                <c:pt idx="28">
                  <c:v>-304.1541257034541</c:v>
                </c:pt>
                <c:pt idx="29">
                  <c:v>-304.1541257034541</c:v>
                </c:pt>
                <c:pt idx="30">
                  <c:v>-400.33928299566395</c:v>
                </c:pt>
                <c:pt idx="31">
                  <c:v>-400.33928299566395</c:v>
                </c:pt>
                <c:pt idx="32">
                  <c:v>-400.33928299566395</c:v>
                </c:pt>
                <c:pt idx="33">
                  <c:v>-409.41453138577788</c:v>
                </c:pt>
                <c:pt idx="34">
                  <c:v>-409.41453138577788</c:v>
                </c:pt>
                <c:pt idx="35">
                  <c:v>-409.41453138577788</c:v>
                </c:pt>
                <c:pt idx="36">
                  <c:v>-421.77552074960306</c:v>
                </c:pt>
                <c:pt idx="37">
                  <c:v>-421.77552074960306</c:v>
                </c:pt>
                <c:pt idx="38">
                  <c:v>-421.77552074960306</c:v>
                </c:pt>
                <c:pt idx="39">
                  <c:v>-429.49762810905122</c:v>
                </c:pt>
                <c:pt idx="40">
                  <c:v>-429.49762810905122</c:v>
                </c:pt>
                <c:pt idx="41">
                  <c:v>-429.49762810905122</c:v>
                </c:pt>
                <c:pt idx="42">
                  <c:v>-430.1996413267513</c:v>
                </c:pt>
                <c:pt idx="43">
                  <c:v>-430.1996413267513</c:v>
                </c:pt>
                <c:pt idx="44">
                  <c:v>-430.1996413267513</c:v>
                </c:pt>
                <c:pt idx="45">
                  <c:v>-432.70660018589479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1898-49AA-94AA-7BF0EB2EA4B8}"/>
            </c:ext>
          </c:extLst>
        </c:ser>
        <c:ser>
          <c:idx val="4"/>
          <c:order val="4"/>
          <c:tx>
            <c:v>Error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Path!$N$28:$N$73</c:f>
              <c:numCache>
                <c:formatCode>0.0</c:formatCode>
                <c:ptCount val="4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18.145115769111761</c:v>
                </c:pt>
                <c:pt idx="4">
                  <c:v>18.145115769111761</c:v>
                </c:pt>
                <c:pt idx="5">
                  <c:v>18.145115769111761</c:v>
                </c:pt>
                <c:pt idx="6">
                  <c:v>101.07575703659364</c:v>
                </c:pt>
                <c:pt idx="7">
                  <c:v>101.07575703659364</c:v>
                </c:pt>
                <c:pt idx="8">
                  <c:v>101.07575703659364</c:v>
                </c:pt>
                <c:pt idx="9">
                  <c:v>105.23111753718095</c:v>
                </c:pt>
                <c:pt idx="10">
                  <c:v>105.23111753718095</c:v>
                </c:pt>
                <c:pt idx="11">
                  <c:v>105.23111753718095</c:v>
                </c:pt>
                <c:pt idx="12">
                  <c:v>111.16495585533842</c:v>
                </c:pt>
                <c:pt idx="13">
                  <c:v>111.16495585533842</c:v>
                </c:pt>
                <c:pt idx="14">
                  <c:v>111.16495585533842</c:v>
                </c:pt>
                <c:pt idx="15">
                  <c:v>115.4009228401239</c:v>
                </c:pt>
                <c:pt idx="16">
                  <c:v>115.4009228401239</c:v>
                </c:pt>
                <c:pt idx="17">
                  <c:v>115.4009228401239</c:v>
                </c:pt>
                <c:pt idx="18">
                  <c:v>117.30937786734231</c:v>
                </c:pt>
                <c:pt idx="19">
                  <c:v>117.30937786734231</c:v>
                </c:pt>
                <c:pt idx="20">
                  <c:v>117.30937786734231</c:v>
                </c:pt>
                <c:pt idx="21">
                  <c:v>121.62555043037295</c:v>
                </c:pt>
                <c:pt idx="22">
                  <c:v>121.62555043037295</c:v>
                </c:pt>
                <c:pt idx="23">
                  <c:v>121.62555043037295</c:v>
                </c:pt>
                <c:pt idx="24">
                  <c:v>128.13994232658669</c:v>
                </c:pt>
                <c:pt idx="25">
                  <c:v>128.13994232658669</c:v>
                </c:pt>
                <c:pt idx="26">
                  <c:v>128.13994232658669</c:v>
                </c:pt>
                <c:pt idx="27">
                  <c:v>132.68498436615127</c:v>
                </c:pt>
                <c:pt idx="28">
                  <c:v>132.68498436615127</c:v>
                </c:pt>
                <c:pt idx="29">
                  <c:v>132.68498436615127</c:v>
                </c:pt>
                <c:pt idx="30">
                  <c:v>205.96646234416971</c:v>
                </c:pt>
                <c:pt idx="31">
                  <c:v>205.96646234416971</c:v>
                </c:pt>
                <c:pt idx="32">
                  <c:v>205.96646234416971</c:v>
                </c:pt>
                <c:pt idx="33">
                  <c:v>212.88070601510088</c:v>
                </c:pt>
                <c:pt idx="34">
                  <c:v>212.88070601510088</c:v>
                </c:pt>
                <c:pt idx="35">
                  <c:v>212.88070601510088</c:v>
                </c:pt>
                <c:pt idx="36">
                  <c:v>222.29828763946483</c:v>
                </c:pt>
                <c:pt idx="37">
                  <c:v>222.29828763946483</c:v>
                </c:pt>
                <c:pt idx="38">
                  <c:v>222.29828763946483</c:v>
                </c:pt>
                <c:pt idx="39">
                  <c:v>228.18160120193201</c:v>
                </c:pt>
                <c:pt idx="40">
                  <c:v>228.18160120193201</c:v>
                </c:pt>
                <c:pt idx="41">
                  <c:v>228.18160120193201</c:v>
                </c:pt>
                <c:pt idx="42">
                  <c:v>228.71645052381729</c:v>
                </c:pt>
                <c:pt idx="43">
                  <c:v>228.71645052381729</c:v>
                </c:pt>
                <c:pt idx="44">
                  <c:v>228.71645052381729</c:v>
                </c:pt>
                <c:pt idx="45">
                  <c:v>230.62645052381728</c:v>
                </c:pt>
              </c:numCache>
            </c:numRef>
          </c:xVal>
          <c:yVal>
            <c:numRef>
              <c:f>Path!$R$28:$R$73</c:f>
              <c:numCache>
                <c:formatCode>0.0</c:formatCode>
                <c:ptCount val="4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4.5057386769449863</c:v>
                </c:pt>
                <c:pt idx="4">
                  <c:v>4.5057386769449863</c:v>
                </c:pt>
                <c:pt idx="5">
                  <c:v>4.5057386769449863</c:v>
                </c:pt>
                <c:pt idx="6">
                  <c:v>4.1515680258510201</c:v>
                </c:pt>
                <c:pt idx="7">
                  <c:v>4.1515680258510201</c:v>
                </c:pt>
                <c:pt idx="8">
                  <c:v>4.1515680258510201</c:v>
                </c:pt>
                <c:pt idx="9">
                  <c:v>67.994048985394556</c:v>
                </c:pt>
                <c:pt idx="10">
                  <c:v>67.994048985394556</c:v>
                </c:pt>
                <c:pt idx="11">
                  <c:v>67.994048985394556</c:v>
                </c:pt>
                <c:pt idx="12">
                  <c:v>65.03498568188229</c:v>
                </c:pt>
                <c:pt idx="13">
                  <c:v>65.03498568188229</c:v>
                </c:pt>
                <c:pt idx="14">
                  <c:v>65.03498568188229</c:v>
                </c:pt>
                <c:pt idx="15">
                  <c:v>5.7445162310614251E-3</c:v>
                </c:pt>
                <c:pt idx="16">
                  <c:v>5.7445162310614251E-3</c:v>
                </c:pt>
                <c:pt idx="17">
                  <c:v>5.7445162310614251E-3</c:v>
                </c:pt>
                <c:pt idx="18">
                  <c:v>-2.4058941511384546E-3</c:v>
                </c:pt>
                <c:pt idx="19">
                  <c:v>-2.4058941511384546E-3</c:v>
                </c:pt>
                <c:pt idx="20">
                  <c:v>-2.4058941511384546E-3</c:v>
                </c:pt>
                <c:pt idx="21">
                  <c:v>64.461544377055134</c:v>
                </c:pt>
                <c:pt idx="22">
                  <c:v>64.461544377055134</c:v>
                </c:pt>
                <c:pt idx="23">
                  <c:v>64.461544377055134</c:v>
                </c:pt>
                <c:pt idx="24">
                  <c:v>69.324585337540611</c:v>
                </c:pt>
                <c:pt idx="25">
                  <c:v>69.324585337540611</c:v>
                </c:pt>
                <c:pt idx="26">
                  <c:v>69.324585337540611</c:v>
                </c:pt>
                <c:pt idx="27">
                  <c:v>5.9862709349545185E-6</c:v>
                </c:pt>
                <c:pt idx="28">
                  <c:v>5.9862709349545185E-6</c:v>
                </c:pt>
                <c:pt idx="29">
                  <c:v>5.9862709349545185E-6</c:v>
                </c:pt>
                <c:pt idx="30">
                  <c:v>-0.31295612727285516</c:v>
                </c:pt>
                <c:pt idx="31">
                  <c:v>-0.31295612727285516</c:v>
                </c:pt>
                <c:pt idx="32">
                  <c:v>-0.31295612727285516</c:v>
                </c:pt>
                <c:pt idx="33">
                  <c:v>115.14015737867749</c:v>
                </c:pt>
                <c:pt idx="34">
                  <c:v>115.14015737867749</c:v>
                </c:pt>
                <c:pt idx="35">
                  <c:v>115.14015737867749</c:v>
                </c:pt>
                <c:pt idx="36">
                  <c:v>117.50194925515382</c:v>
                </c:pt>
                <c:pt idx="37">
                  <c:v>117.50194925515382</c:v>
                </c:pt>
                <c:pt idx="38">
                  <c:v>117.50194925515382</c:v>
                </c:pt>
                <c:pt idx="39">
                  <c:v>7.1185317076722185</c:v>
                </c:pt>
                <c:pt idx="40">
                  <c:v>7.1185317076722185</c:v>
                </c:pt>
                <c:pt idx="41">
                  <c:v>7.1185317076722185</c:v>
                </c:pt>
                <c:pt idx="42">
                  <c:v>5.0139177182869616</c:v>
                </c:pt>
                <c:pt idx="43">
                  <c:v>5.0139177182869616</c:v>
                </c:pt>
                <c:pt idx="44">
                  <c:v>5.0139177182869616</c:v>
                </c:pt>
                <c:pt idx="45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1898-49AA-94AA-7BF0EB2EA4B8}"/>
            </c:ext>
          </c:extLst>
        </c:ser>
        <c:ser>
          <c:idx val="5"/>
          <c:order val="5"/>
          <c:tx>
            <c:v>S1</c:v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Guides!$C$22:$C$33</c:f>
              <c:numCache>
                <c:formatCode>0.0</c:formatCode>
                <c:ptCount val="12"/>
                <c:pt idx="0">
                  <c:v>0</c:v>
                </c:pt>
                <c:pt idx="1">
                  <c:v>0</c:v>
                </c:pt>
                <c:pt idx="3">
                  <c:v>0</c:v>
                </c:pt>
                <c:pt idx="4">
                  <c:v>0</c:v>
                </c:pt>
                <c:pt idx="6">
                  <c:v>0</c:v>
                </c:pt>
                <c:pt idx="7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Guides!$D$22:$D$23</c:f>
              <c:numCache>
                <c:formatCode>0.0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1898-49AA-94AA-7BF0EB2EA4B8}"/>
            </c:ext>
          </c:extLst>
        </c:ser>
        <c:ser>
          <c:idx val="6"/>
          <c:order val="6"/>
          <c:tx>
            <c:v>S2</c:v>
          </c:tx>
          <c:spPr>
            <a:ln w="25400"/>
          </c:spPr>
          <c:marker>
            <c:symbol val="none"/>
          </c:marker>
          <c:dPt>
            <c:idx val="1"/>
            <c:bubble3D val="0"/>
            <c:spPr>
              <a:ln w="25400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1898-49AA-94AA-7BF0EB2EA4B8}"/>
              </c:ext>
            </c:extLst>
          </c:dPt>
          <c:xVal>
            <c:numRef>
              <c:f>Guides!$C$25:$C$26</c:f>
              <c:numCache>
                <c:formatCode>0.0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Guides!$D$25:$D$26</c:f>
              <c:numCache>
                <c:formatCode>0.0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1898-49AA-94AA-7BF0EB2EA4B8}"/>
            </c:ext>
          </c:extLst>
        </c:ser>
        <c:ser>
          <c:idx val="7"/>
          <c:order val="7"/>
          <c:tx>
            <c:v>S3</c:v>
          </c:tx>
          <c:spPr>
            <a:ln w="25400">
              <a:solidFill>
                <a:srgbClr val="000000"/>
              </a:solidFill>
            </a:ln>
          </c:spPr>
          <c:marker>
            <c:symbol val="none"/>
          </c:marker>
          <c:xVal>
            <c:numRef>
              <c:f>Guides!$C$28:$C$29</c:f>
              <c:numCache>
                <c:formatCode>0.0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Guides!$D$28:$D$29</c:f>
              <c:numCache>
                <c:formatCode>0.0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1898-49AA-94AA-7BF0EB2EA4B8}"/>
            </c:ext>
          </c:extLst>
        </c:ser>
        <c:ser>
          <c:idx val="8"/>
          <c:order val="8"/>
          <c:tx>
            <c:v>S4</c:v>
          </c:tx>
          <c:spPr>
            <a:ln w="25400">
              <a:solidFill>
                <a:srgbClr val="000000"/>
              </a:solidFill>
            </a:ln>
          </c:spPr>
          <c:marker>
            <c:symbol val="none"/>
          </c:marker>
          <c:xVal>
            <c:numRef>
              <c:f>Guides!$C$31:$C$32</c:f>
              <c:numCache>
                <c:formatCode>0.0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Guides!$D$31:$D$32</c:f>
              <c:numCache>
                <c:formatCode>0.0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1898-49AA-94AA-7BF0EB2EA4B8}"/>
            </c:ext>
          </c:extLst>
        </c:ser>
        <c:ser>
          <c:idx val="9"/>
          <c:order val="9"/>
          <c:tx>
            <c:v>S5</c:v>
          </c:tx>
          <c:spPr>
            <a:ln w="25400">
              <a:solidFill>
                <a:srgbClr val="000000"/>
              </a:solidFill>
            </a:ln>
          </c:spPr>
          <c:marker>
            <c:symbol val="none"/>
          </c:marker>
          <c:xVal>
            <c:numRef>
              <c:f>Guides!$C$34:$C$35</c:f>
              <c:numCache>
                <c:formatCode>0.0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Guides!$D$34:$D$35</c:f>
              <c:numCache>
                <c:formatCode>0.0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1898-49AA-94AA-7BF0EB2EA4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157120"/>
        <c:axId val="13159040"/>
      </c:scatterChart>
      <c:valAx>
        <c:axId val="131571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Length</a:t>
                </a:r>
              </a:p>
            </c:rich>
          </c:tx>
          <c:layout>
            <c:manualLayout>
              <c:xMode val="edge"/>
              <c:yMode val="edge"/>
              <c:x val="0.49832214765100669"/>
              <c:y val="0.89916222010710212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159040"/>
        <c:crosses val="autoZero"/>
        <c:crossBetween val="midCat"/>
      </c:valAx>
      <c:valAx>
        <c:axId val="131590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Area</a:t>
                </a:r>
              </a:p>
            </c:rich>
          </c:tx>
          <c:layout>
            <c:manualLayout>
              <c:xMode val="edge"/>
              <c:yMode val="edge"/>
              <c:x val="2.6845637583892617E-2"/>
              <c:y val="0.4509817042100506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157120"/>
        <c:crosses val="autoZero"/>
        <c:crossBetween val="midCat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906040268456375"/>
          <c:y val="2.6929982046678635E-2"/>
          <c:w val="0.86577181208053688"/>
          <c:h val="0.85996409335727109"/>
        </c:manualLayout>
      </c:layout>
      <c:scatterChart>
        <c:scatterStyle val="lineMarker"/>
        <c:varyColors val="0"/>
        <c:ser>
          <c:idx val="1"/>
          <c:order val="0"/>
          <c:tx>
            <c:v>Outline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Panels!$F$6:$F$64</c:f>
              <c:numCache>
                <c:formatCode>0.0</c:formatCode>
                <c:ptCount val="59"/>
                <c:pt idx="0">
                  <c:v>0</c:v>
                </c:pt>
                <c:pt idx="1">
                  <c:v>0</c:v>
                </c:pt>
                <c:pt idx="2">
                  <c:v>1.91</c:v>
                </c:pt>
                <c:pt idx="3">
                  <c:v>1.91</c:v>
                </c:pt>
                <c:pt idx="4">
                  <c:v>0</c:v>
                </c:pt>
                <c:pt idx="6">
                  <c:v>38.730000000000004</c:v>
                </c:pt>
                <c:pt idx="7">
                  <c:v>38.730000000000004</c:v>
                </c:pt>
                <c:pt idx="8">
                  <c:v>40.64</c:v>
                </c:pt>
                <c:pt idx="9">
                  <c:v>40.64</c:v>
                </c:pt>
                <c:pt idx="10">
                  <c:v>38.730000000000004</c:v>
                </c:pt>
                <c:pt idx="12">
                  <c:v>40.64</c:v>
                </c:pt>
                <c:pt idx="13">
                  <c:v>0</c:v>
                </c:pt>
                <c:pt idx="14">
                  <c:v>0</c:v>
                </c:pt>
                <c:pt idx="15">
                  <c:v>40.64</c:v>
                </c:pt>
                <c:pt idx="16">
                  <c:v>40.64</c:v>
                </c:pt>
                <c:pt idx="18">
                  <c:v>0</c:v>
                </c:pt>
                <c:pt idx="19">
                  <c:v>40.64</c:v>
                </c:pt>
                <c:pt idx="20">
                  <c:v>40.64</c:v>
                </c:pt>
                <c:pt idx="21">
                  <c:v>0</c:v>
                </c:pt>
                <c:pt idx="22">
                  <c:v>0</c:v>
                </c:pt>
                <c:pt idx="24">
                  <c:v>0</c:v>
                </c:pt>
                <c:pt idx="25">
                  <c:v>40.64</c:v>
                </c:pt>
                <c:pt idx="26">
                  <c:v>40.64</c:v>
                </c:pt>
                <c:pt idx="27">
                  <c:v>0</c:v>
                </c:pt>
                <c:pt idx="28">
                  <c:v>0</c:v>
                </c:pt>
                <c:pt idx="30">
                  <c:v>28.693933139046244</c:v>
                </c:pt>
                <c:pt idx="31">
                  <c:v>20.577573869593607</c:v>
                </c:pt>
                <c:pt idx="32">
                  <c:v>22.481396477881766</c:v>
                </c:pt>
                <c:pt idx="33">
                  <c:v>30.597755747334404</c:v>
                </c:pt>
                <c:pt idx="34">
                  <c:v>28.693933139046244</c:v>
                </c:pt>
              </c:numCache>
            </c:numRef>
          </c:xVal>
          <c:yVal>
            <c:numRef>
              <c:f>Panels!$G$6:$G$64</c:f>
              <c:numCache>
                <c:formatCode>0.0</c:formatCode>
                <c:ptCount val="59"/>
                <c:pt idx="0">
                  <c:v>120.01</c:v>
                </c:pt>
                <c:pt idx="1">
                  <c:v>28.489029495448079</c:v>
                </c:pt>
                <c:pt idx="2">
                  <c:v>28.489029495448079</c:v>
                </c:pt>
                <c:pt idx="3">
                  <c:v>120.01</c:v>
                </c:pt>
                <c:pt idx="4">
                  <c:v>120.01</c:v>
                </c:pt>
                <c:pt idx="6">
                  <c:v>120.01</c:v>
                </c:pt>
                <c:pt idx="7">
                  <c:v>1.91</c:v>
                </c:pt>
                <c:pt idx="8">
                  <c:v>1.91</c:v>
                </c:pt>
                <c:pt idx="9">
                  <c:v>120.01</c:v>
                </c:pt>
                <c:pt idx="10">
                  <c:v>120.01</c:v>
                </c:pt>
                <c:pt idx="12">
                  <c:v>121.92</c:v>
                </c:pt>
                <c:pt idx="13">
                  <c:v>121.92</c:v>
                </c:pt>
                <c:pt idx="14">
                  <c:v>0</c:v>
                </c:pt>
                <c:pt idx="15">
                  <c:v>0</c:v>
                </c:pt>
                <c:pt idx="16">
                  <c:v>121.92</c:v>
                </c:pt>
                <c:pt idx="18">
                  <c:v>1.91</c:v>
                </c:pt>
                <c:pt idx="19">
                  <c:v>1.91</c:v>
                </c:pt>
                <c:pt idx="20">
                  <c:v>0</c:v>
                </c:pt>
                <c:pt idx="21">
                  <c:v>0</c:v>
                </c:pt>
                <c:pt idx="22">
                  <c:v>1.91</c:v>
                </c:pt>
                <c:pt idx="24">
                  <c:v>121.92</c:v>
                </c:pt>
                <c:pt idx="25">
                  <c:v>121.92</c:v>
                </c:pt>
                <c:pt idx="26">
                  <c:v>120.01</c:v>
                </c:pt>
                <c:pt idx="27">
                  <c:v>120.01</c:v>
                </c:pt>
                <c:pt idx="28">
                  <c:v>121.92</c:v>
                </c:pt>
                <c:pt idx="30">
                  <c:v>1.91</c:v>
                </c:pt>
                <c:pt idx="31">
                  <c:v>102.58112633329603</c:v>
                </c:pt>
                <c:pt idx="32">
                  <c:v>102.73461729775603</c:v>
                </c:pt>
                <c:pt idx="33">
                  <c:v>2.0634909644600015</c:v>
                </c:pt>
                <c:pt idx="34">
                  <c:v>1.91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DC5-4DB7-A400-84B19B3337FE}"/>
            </c:ext>
          </c:extLst>
        </c:ser>
        <c:ser>
          <c:idx val="5"/>
          <c:order val="1"/>
          <c:tx>
            <c:v>Sample Points</c:v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square"/>
            <c:size val="3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xVal>
            <c:numRef>
              <c:f>Path!$F$26:$F$76</c:f>
              <c:numCache>
                <c:formatCode>0.0</c:formatCode>
                <c:ptCount val="51"/>
                <c:pt idx="0">
                  <c:v>30.751246711794412</c:v>
                </c:pt>
                <c:pt idx="1">
                  <c:v>38.730000000000004</c:v>
                </c:pt>
                <c:pt idx="3">
                  <c:v>29.151244040381432</c:v>
                </c:pt>
                <c:pt idx="4">
                  <c:v>38.730000000000004</c:v>
                </c:pt>
                <c:pt idx="6">
                  <c:v>22.481396477881766</c:v>
                </c:pt>
                <c:pt idx="7">
                  <c:v>38.730000000000004</c:v>
                </c:pt>
                <c:pt idx="9">
                  <c:v>22.481396477881766</c:v>
                </c:pt>
                <c:pt idx="10">
                  <c:v>38.730000000000004</c:v>
                </c:pt>
                <c:pt idx="12">
                  <c:v>22.481396477881766</c:v>
                </c:pt>
                <c:pt idx="13">
                  <c:v>30.258066030429045</c:v>
                </c:pt>
                <c:pt idx="15">
                  <c:v>22.481396477881766</c:v>
                </c:pt>
                <c:pt idx="16">
                  <c:v>21.786132060858087</c:v>
                </c:pt>
                <c:pt idx="18">
                  <c:v>20.577573869593607</c:v>
                </c:pt>
                <c:pt idx="19">
                  <c:v>19.876132060858087</c:v>
                </c:pt>
                <c:pt idx="21">
                  <c:v>20.577573869593607</c:v>
                </c:pt>
                <c:pt idx="22">
                  <c:v>11.243786934796804</c:v>
                </c:pt>
                <c:pt idx="24">
                  <c:v>20.577573869593607</c:v>
                </c:pt>
                <c:pt idx="25">
                  <c:v>1.91</c:v>
                </c:pt>
                <c:pt idx="27">
                  <c:v>20.577573869593607</c:v>
                </c:pt>
                <c:pt idx="28">
                  <c:v>1.91</c:v>
                </c:pt>
                <c:pt idx="30">
                  <c:v>1.91</c:v>
                </c:pt>
                <c:pt idx="31">
                  <c:v>26.471369935773481</c:v>
                </c:pt>
                <c:pt idx="33">
                  <c:v>1.91</c:v>
                </c:pt>
                <c:pt idx="34">
                  <c:v>27.582651537409863</c:v>
                </c:pt>
                <c:pt idx="36">
                  <c:v>1.91</c:v>
                </c:pt>
                <c:pt idx="37">
                  <c:v>14.746325768704931</c:v>
                </c:pt>
                <c:pt idx="39">
                  <c:v>1.91</c:v>
                </c:pt>
                <c:pt idx="40">
                  <c:v>2.9796986437705684</c:v>
                </c:pt>
                <c:pt idx="42">
                  <c:v>1.91</c:v>
                </c:pt>
                <c:pt idx="43">
                  <c:v>1.91</c:v>
                </c:pt>
                <c:pt idx="45">
                  <c:v>0</c:v>
                </c:pt>
                <c:pt idx="46">
                  <c:v>0</c:v>
                </c:pt>
              </c:numCache>
            </c:numRef>
          </c:xVal>
          <c:yVal>
            <c:numRef>
              <c:f>Path!$G$26:$G$76</c:f>
              <c:numCache>
                <c:formatCode>0.0</c:formatCode>
                <c:ptCount val="51"/>
                <c:pt idx="0">
                  <c:v>1.91</c:v>
                </c:pt>
                <c:pt idx="1">
                  <c:v>2.2311126114606692</c:v>
                </c:pt>
                <c:pt idx="3">
                  <c:v>20.005274707489775</c:v>
                </c:pt>
                <c:pt idx="4">
                  <c:v>20.390780967632494</c:v>
                </c:pt>
                <c:pt idx="6">
                  <c:v>102.73461729775603</c:v>
                </c:pt>
                <c:pt idx="7">
                  <c:v>103.38855799765075</c:v>
                </c:pt>
                <c:pt idx="9">
                  <c:v>102.73461729775603</c:v>
                </c:pt>
                <c:pt idx="10">
                  <c:v>111.69927899882538</c:v>
                </c:pt>
                <c:pt idx="12">
                  <c:v>102.73461729775603</c:v>
                </c:pt>
                <c:pt idx="13">
                  <c:v>120.01</c:v>
                </c:pt>
                <c:pt idx="15">
                  <c:v>102.73461729775603</c:v>
                </c:pt>
                <c:pt idx="16">
                  <c:v>120.01</c:v>
                </c:pt>
                <c:pt idx="18">
                  <c:v>102.58112633329603</c:v>
                </c:pt>
                <c:pt idx="19">
                  <c:v>120.01</c:v>
                </c:pt>
                <c:pt idx="21">
                  <c:v>102.58112633329603</c:v>
                </c:pt>
                <c:pt idx="22">
                  <c:v>120.01</c:v>
                </c:pt>
                <c:pt idx="24">
                  <c:v>102.58112633329603</c:v>
                </c:pt>
                <c:pt idx="25">
                  <c:v>110.91991592087084</c:v>
                </c:pt>
                <c:pt idx="27">
                  <c:v>102.58112633329603</c:v>
                </c:pt>
                <c:pt idx="28">
                  <c:v>101.82983184174167</c:v>
                </c:pt>
                <c:pt idx="30">
                  <c:v>28.489029495448079</c:v>
                </c:pt>
                <c:pt idx="31">
                  <c:v>29.477525486768744</c:v>
                </c:pt>
                <c:pt idx="33">
                  <c:v>28.489029495448079</c:v>
                </c:pt>
                <c:pt idx="34">
                  <c:v>15.693762743384372</c:v>
                </c:pt>
                <c:pt idx="36">
                  <c:v>28.489029495448079</c:v>
                </c:pt>
                <c:pt idx="37">
                  <c:v>1.91</c:v>
                </c:pt>
                <c:pt idx="39">
                  <c:v>28.489029495448079</c:v>
                </c:pt>
                <c:pt idx="40">
                  <c:v>1.91</c:v>
                </c:pt>
                <c:pt idx="42">
                  <c:v>28.489029495448079</c:v>
                </c:pt>
                <c:pt idx="43">
                  <c:v>1.91</c:v>
                </c:pt>
                <c:pt idx="45">
                  <c:v>28.489029495448079</c:v>
                </c:pt>
                <c:pt idx="46">
                  <c:v>1.91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DC5-4DB7-A400-84B19B3337FE}"/>
            </c:ext>
          </c:extLst>
        </c:ser>
        <c:ser>
          <c:idx val="6"/>
          <c:order val="2"/>
          <c:tx>
            <c:v>Driver</c:v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Panels!$U$20:$U$35</c:f>
              <c:numCache>
                <c:formatCode>0.0</c:formatCode>
                <c:ptCount val="16"/>
                <c:pt idx="0">
                  <c:v>28.533209616051472</c:v>
                </c:pt>
                <c:pt idx="1">
                  <c:v>27.247421432093272</c:v>
                </c:pt>
                <c:pt idx="2">
                  <c:v>12.056711196328051</c:v>
                </c:pt>
                <c:pt idx="3">
                  <c:v>12.980871453548007</c:v>
                </c:pt>
                <c:pt idx="4">
                  <c:v>18.064376847406447</c:v>
                </c:pt>
                <c:pt idx="5">
                  <c:v>28.452847854554083</c:v>
                </c:pt>
                <c:pt idx="7">
                  <c:v>25.961633248135072</c:v>
                </c:pt>
                <c:pt idx="8">
                  <c:v>27.247421432093272</c:v>
                </c:pt>
                <c:pt idx="9">
                  <c:v>12.056711196328051</c:v>
                </c:pt>
                <c:pt idx="10">
                  <c:v>11.132550939108095</c:v>
                </c:pt>
                <c:pt idx="11">
                  <c:v>16.216056332966534</c:v>
                </c:pt>
                <c:pt idx="12">
                  <c:v>26.041995009632462</c:v>
                </c:pt>
                <c:pt idx="14">
                  <c:v>16.216056332966534</c:v>
                </c:pt>
                <c:pt idx="15">
                  <c:v>18.064376847406447</c:v>
                </c:pt>
              </c:numCache>
            </c:numRef>
          </c:xVal>
          <c:yVal>
            <c:numRef>
              <c:f>Panels!$V$20:$V$35</c:f>
              <c:numCache>
                <c:formatCode>0.0</c:formatCode>
                <c:ptCount val="16"/>
                <c:pt idx="0">
                  <c:v>3.9035315270033095</c:v>
                </c:pt>
                <c:pt idx="1">
                  <c:v>19.851783743029788</c:v>
                </c:pt>
                <c:pt idx="2">
                  <c:v>18.627070497809605</c:v>
                </c:pt>
                <c:pt idx="3">
                  <c:v>7.1642642175405733</c:v>
                </c:pt>
                <c:pt idx="4">
                  <c:v>7.5741092011772491</c:v>
                </c:pt>
                <c:pt idx="5">
                  <c:v>4.9002972905049642</c:v>
                </c:pt>
                <c:pt idx="7">
                  <c:v>35.800035959056267</c:v>
                </c:pt>
                <c:pt idx="8">
                  <c:v>19.851783743029788</c:v>
                </c:pt>
                <c:pt idx="9">
                  <c:v>18.627070497809605</c:v>
                </c:pt>
                <c:pt idx="10">
                  <c:v>30.089876778078636</c:v>
                </c:pt>
                <c:pt idx="11">
                  <c:v>30.499721761715314</c:v>
                </c:pt>
                <c:pt idx="12">
                  <c:v>34.80327019555461</c:v>
                </c:pt>
                <c:pt idx="14">
                  <c:v>30.499721761715314</c:v>
                </c:pt>
                <c:pt idx="15">
                  <c:v>7.5741092011772491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CDC5-4DB7-A400-84B19B3337FE}"/>
            </c:ext>
          </c:extLst>
        </c:ser>
        <c:ser>
          <c:idx val="2"/>
          <c:order val="3"/>
          <c:tx>
            <c:v>Adv Centerline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Path!$J$26:$J$76</c:f>
              <c:numCache>
                <c:formatCode>0.0</c:formatCode>
                <c:ptCount val="51"/>
                <c:pt idx="0">
                  <c:v>34.740623355897206</c:v>
                </c:pt>
                <c:pt idx="1">
                  <c:v>34.740623355897206</c:v>
                </c:pt>
                <c:pt idx="2">
                  <c:v>34.740623355897206</c:v>
                </c:pt>
                <c:pt idx="3">
                  <c:v>33.940622020190716</c:v>
                </c:pt>
                <c:pt idx="4">
                  <c:v>33.940622020190716</c:v>
                </c:pt>
                <c:pt idx="5">
                  <c:v>33.940622020190716</c:v>
                </c:pt>
                <c:pt idx="6">
                  <c:v>30.605698238940885</c:v>
                </c:pt>
                <c:pt idx="7">
                  <c:v>30.605698238940885</c:v>
                </c:pt>
                <c:pt idx="8">
                  <c:v>30.605698238940885</c:v>
                </c:pt>
                <c:pt idx="9">
                  <c:v>30.605698238940885</c:v>
                </c:pt>
                <c:pt idx="10">
                  <c:v>30.605698238940885</c:v>
                </c:pt>
                <c:pt idx="11">
                  <c:v>30.605698238940885</c:v>
                </c:pt>
                <c:pt idx="12">
                  <c:v>26.369731254155404</c:v>
                </c:pt>
                <c:pt idx="13">
                  <c:v>26.369731254155404</c:v>
                </c:pt>
                <c:pt idx="14">
                  <c:v>26.369731254155404</c:v>
                </c:pt>
                <c:pt idx="15">
                  <c:v>22.133764269369927</c:v>
                </c:pt>
                <c:pt idx="16">
                  <c:v>22.133764269369927</c:v>
                </c:pt>
                <c:pt idx="17">
                  <c:v>22.133764269369927</c:v>
                </c:pt>
                <c:pt idx="18">
                  <c:v>20.226852965225845</c:v>
                </c:pt>
                <c:pt idx="19">
                  <c:v>20.226852965225845</c:v>
                </c:pt>
                <c:pt idx="20">
                  <c:v>20.226852965225845</c:v>
                </c:pt>
                <c:pt idx="21">
                  <c:v>15.910680402195204</c:v>
                </c:pt>
                <c:pt idx="22">
                  <c:v>15.910680402195204</c:v>
                </c:pt>
                <c:pt idx="23">
                  <c:v>15.910680402195204</c:v>
                </c:pt>
                <c:pt idx="24">
                  <c:v>11.243786934796804</c:v>
                </c:pt>
                <c:pt idx="25">
                  <c:v>11.243786934796804</c:v>
                </c:pt>
                <c:pt idx="26">
                  <c:v>11.243786934796804</c:v>
                </c:pt>
                <c:pt idx="27">
                  <c:v>11.243786934796804</c:v>
                </c:pt>
                <c:pt idx="28">
                  <c:v>11.243786934796804</c:v>
                </c:pt>
                <c:pt idx="29">
                  <c:v>11.243786934796804</c:v>
                </c:pt>
                <c:pt idx="30">
                  <c:v>14.190684967886741</c:v>
                </c:pt>
                <c:pt idx="31">
                  <c:v>14.190684967886741</c:v>
                </c:pt>
                <c:pt idx="32">
                  <c:v>14.190684967886741</c:v>
                </c:pt>
                <c:pt idx="33">
                  <c:v>14.746325768704931</c:v>
                </c:pt>
                <c:pt idx="34">
                  <c:v>14.746325768704931</c:v>
                </c:pt>
                <c:pt idx="35">
                  <c:v>14.746325768704931</c:v>
                </c:pt>
                <c:pt idx="36">
                  <c:v>8.3281628843524658</c:v>
                </c:pt>
                <c:pt idx="37">
                  <c:v>8.3281628843524658</c:v>
                </c:pt>
                <c:pt idx="38">
                  <c:v>8.3281628843524658</c:v>
                </c:pt>
                <c:pt idx="39">
                  <c:v>2.4448493218852843</c:v>
                </c:pt>
                <c:pt idx="40">
                  <c:v>2.4448493218852843</c:v>
                </c:pt>
                <c:pt idx="41">
                  <c:v>2.4448493218852843</c:v>
                </c:pt>
                <c:pt idx="42">
                  <c:v>1.91</c:v>
                </c:pt>
                <c:pt idx="43">
                  <c:v>1.91</c:v>
                </c:pt>
                <c:pt idx="44">
                  <c:v>1.91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xVal>
          <c:yVal>
            <c:numRef>
              <c:f>Path!$K$26:$K$76</c:f>
              <c:numCache>
                <c:formatCode>0.0</c:formatCode>
                <c:ptCount val="51"/>
                <c:pt idx="0">
                  <c:v>2.0705563057303347</c:v>
                </c:pt>
                <c:pt idx="1">
                  <c:v>2.0705563057303347</c:v>
                </c:pt>
                <c:pt idx="2">
                  <c:v>2.0705563057303347</c:v>
                </c:pt>
                <c:pt idx="3">
                  <c:v>20.198027837561135</c:v>
                </c:pt>
                <c:pt idx="4">
                  <c:v>20.198027837561135</c:v>
                </c:pt>
                <c:pt idx="5">
                  <c:v>20.198027837561135</c:v>
                </c:pt>
                <c:pt idx="6">
                  <c:v>103.06158764770339</c:v>
                </c:pt>
                <c:pt idx="7">
                  <c:v>103.06158764770339</c:v>
                </c:pt>
                <c:pt idx="8">
                  <c:v>103.06158764770339</c:v>
                </c:pt>
                <c:pt idx="9">
                  <c:v>107.2169481482907</c:v>
                </c:pt>
                <c:pt idx="10">
                  <c:v>107.2169481482907</c:v>
                </c:pt>
                <c:pt idx="11">
                  <c:v>107.2169481482907</c:v>
                </c:pt>
                <c:pt idx="12">
                  <c:v>111.37230864887802</c:v>
                </c:pt>
                <c:pt idx="13">
                  <c:v>111.37230864887802</c:v>
                </c:pt>
                <c:pt idx="14">
                  <c:v>111.37230864887802</c:v>
                </c:pt>
                <c:pt idx="15">
                  <c:v>111.37230864887802</c:v>
                </c:pt>
                <c:pt idx="16">
                  <c:v>111.37230864887802</c:v>
                </c:pt>
                <c:pt idx="17">
                  <c:v>111.37230864887802</c:v>
                </c:pt>
                <c:pt idx="18">
                  <c:v>111.29556316664801</c:v>
                </c:pt>
                <c:pt idx="19">
                  <c:v>111.29556316664801</c:v>
                </c:pt>
                <c:pt idx="20">
                  <c:v>111.29556316664801</c:v>
                </c:pt>
                <c:pt idx="21">
                  <c:v>111.29556316664801</c:v>
                </c:pt>
                <c:pt idx="22">
                  <c:v>111.29556316664801</c:v>
                </c:pt>
                <c:pt idx="23">
                  <c:v>111.29556316664801</c:v>
                </c:pt>
                <c:pt idx="24">
                  <c:v>106.75052112708343</c:v>
                </c:pt>
                <c:pt idx="25">
                  <c:v>106.75052112708343</c:v>
                </c:pt>
                <c:pt idx="26">
                  <c:v>106.75052112708343</c:v>
                </c:pt>
                <c:pt idx="27">
                  <c:v>102.20547908751885</c:v>
                </c:pt>
                <c:pt idx="28">
                  <c:v>102.20547908751885</c:v>
                </c:pt>
                <c:pt idx="29">
                  <c:v>102.20547908751885</c:v>
                </c:pt>
                <c:pt idx="30">
                  <c:v>28.98327749110841</c:v>
                </c:pt>
                <c:pt idx="31">
                  <c:v>28.98327749110841</c:v>
                </c:pt>
                <c:pt idx="32">
                  <c:v>28.98327749110841</c:v>
                </c:pt>
                <c:pt idx="33">
                  <c:v>22.091396119416224</c:v>
                </c:pt>
                <c:pt idx="34">
                  <c:v>22.091396119416224</c:v>
                </c:pt>
                <c:pt idx="35">
                  <c:v>22.091396119416224</c:v>
                </c:pt>
                <c:pt idx="36">
                  <c:v>15.19951474772404</c:v>
                </c:pt>
                <c:pt idx="37">
                  <c:v>15.19951474772404</c:v>
                </c:pt>
                <c:pt idx="38">
                  <c:v>15.19951474772404</c:v>
                </c:pt>
                <c:pt idx="39">
                  <c:v>15.19951474772404</c:v>
                </c:pt>
                <c:pt idx="40">
                  <c:v>15.19951474772404</c:v>
                </c:pt>
                <c:pt idx="41">
                  <c:v>15.19951474772404</c:v>
                </c:pt>
                <c:pt idx="42">
                  <c:v>15.19951474772404</c:v>
                </c:pt>
                <c:pt idx="43">
                  <c:v>15.19951474772404</c:v>
                </c:pt>
                <c:pt idx="44">
                  <c:v>15.19951474772404</c:v>
                </c:pt>
                <c:pt idx="45">
                  <c:v>15.19951474772404</c:v>
                </c:pt>
                <c:pt idx="46">
                  <c:v>15.19951474772404</c:v>
                </c:pt>
                <c:pt idx="47">
                  <c:v>15.19951474772404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CDC5-4DB7-A400-84B19B3337FE}"/>
            </c:ext>
          </c:extLst>
        </c:ser>
        <c:ser>
          <c:idx val="0"/>
          <c:order val="4"/>
          <c:tx>
            <c:v>Axes</c:v>
          </c:tx>
          <c:spPr>
            <a:ln>
              <a:noFill/>
            </a:ln>
          </c:spPr>
          <c:marker>
            <c:symbol val="none"/>
          </c:marker>
          <c:xVal>
            <c:numRef>
              <c:f>Panels!$S$39:$S$43</c:f>
              <c:numCache>
                <c:formatCode>0.0</c:formatCode>
                <c:ptCount val="5"/>
                <c:pt idx="0">
                  <c:v>-5</c:v>
                </c:pt>
                <c:pt idx="1">
                  <c:v>-5</c:v>
                </c:pt>
                <c:pt idx="3">
                  <c:v>-5</c:v>
                </c:pt>
                <c:pt idx="4">
                  <c:v>121.92</c:v>
                </c:pt>
              </c:numCache>
            </c:numRef>
          </c:xVal>
          <c:yVal>
            <c:numRef>
              <c:f>Panels!$T$39:$T$43</c:f>
              <c:numCache>
                <c:formatCode>0.0</c:formatCode>
                <c:ptCount val="5"/>
                <c:pt idx="0">
                  <c:v>-5</c:v>
                </c:pt>
                <c:pt idx="1">
                  <c:v>121.92</c:v>
                </c:pt>
                <c:pt idx="3">
                  <c:v>-5</c:v>
                </c:pt>
                <c:pt idx="4">
                  <c:v>-5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CDC5-4DB7-A400-84B19B3337FE}"/>
            </c:ext>
          </c:extLst>
        </c:ser>
        <c:ser>
          <c:idx val="3"/>
          <c:order val="5"/>
          <c:tx>
            <c:v>Guides</c:v>
          </c:tx>
          <c:spPr>
            <a:ln w="15875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Guides!$F$3:$F$18</c:f>
              <c:numCache>
                <c:formatCode>0.0</c:formatCode>
                <c:ptCount val="16"/>
                <c:pt idx="0">
                  <c:v>0</c:v>
                </c:pt>
                <c:pt idx="1">
                  <c:v>0</c:v>
                </c:pt>
                <c:pt idx="6">
                  <c:v>0</c:v>
                </c:pt>
                <c:pt idx="7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xVal>
          <c:yVal>
            <c:numRef>
              <c:f>Guides!$G$3:$G$18</c:f>
              <c:numCache>
                <c:formatCode>0.0</c:formatCode>
                <c:ptCount val="16"/>
                <c:pt idx="0">
                  <c:v>0</c:v>
                </c:pt>
                <c:pt idx="1">
                  <c:v>0</c:v>
                </c:pt>
                <c:pt idx="6">
                  <c:v>0</c:v>
                </c:pt>
                <c:pt idx="7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CDC5-4DB7-A400-84B19B3337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8993920"/>
        <c:axId val="129012480"/>
      </c:scatterChart>
      <c:valAx>
        <c:axId val="128993920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Depth</a:t>
                </a:r>
              </a:p>
            </c:rich>
          </c:tx>
          <c:layout>
            <c:manualLayout>
              <c:xMode val="edge"/>
              <c:yMode val="edge"/>
              <c:x val="0.51342281879194629"/>
              <c:y val="0.93536791943560249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out"/>
        <c:tickLblPos val="none"/>
        <c:crossAx val="129012480"/>
        <c:crosses val="autoZero"/>
        <c:crossBetween val="midCat"/>
      </c:valAx>
      <c:valAx>
        <c:axId val="129012480"/>
        <c:scaling>
          <c:orientation val="minMax"/>
        </c:scaling>
        <c:delete val="1"/>
        <c:axPos val="l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Height</a:t>
                </a:r>
              </a:p>
            </c:rich>
          </c:tx>
          <c:layout>
            <c:manualLayout>
              <c:xMode val="edge"/>
              <c:yMode val="edge"/>
              <c:x val="1.7897091722595078E-2"/>
              <c:y val="0.45448576906610078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out"/>
        <c:tickLblPos val="none"/>
        <c:crossAx val="128993920"/>
        <c:crosses val="autoZero"/>
        <c:crossBetween val="midCat"/>
      </c:valAx>
      <c:spPr>
        <a:noFill/>
        <a:ln w="12700">
          <a:noFill/>
          <a:prstDash val="sysDash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-4" verticalDpi="-4"/>
  </c:printSettings>
</c:chartSpace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19050</xdr:colOff>
      <xdr:row>35</xdr:row>
      <xdr:rowOff>76200</xdr:rowOff>
    </xdr:from>
    <xdr:to>
      <xdr:col>26</xdr:col>
      <xdr:colOff>9525</xdr:colOff>
      <xdr:row>54</xdr:row>
      <xdr:rowOff>57150</xdr:rowOff>
    </xdr:to>
    <xdr:graphicFrame macro="">
      <xdr:nvGraphicFramePr>
        <xdr:cNvPr id="12038" name="Chart 5">
          <a:extLst>
            <a:ext uri="{FF2B5EF4-FFF2-40B4-BE49-F238E27FC236}">
              <a16:creationId xmlns:a16="http://schemas.microsoft.com/office/drawing/2014/main" id="{00000000-0008-0000-0000-0000062F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19049</xdr:colOff>
      <xdr:row>0</xdr:row>
      <xdr:rowOff>47624</xdr:rowOff>
    </xdr:from>
    <xdr:to>
      <xdr:col>26</xdr:col>
      <xdr:colOff>9524</xdr:colOff>
      <xdr:row>34</xdr:row>
      <xdr:rowOff>85724</xdr:rowOff>
    </xdr:to>
    <xdr:graphicFrame macro="">
      <xdr:nvGraphicFramePr>
        <xdr:cNvPr id="12039" name="Chart 6">
          <a:extLst>
            <a:ext uri="{FF2B5EF4-FFF2-40B4-BE49-F238E27FC236}">
              <a16:creationId xmlns:a16="http://schemas.microsoft.com/office/drawing/2014/main" id="{00000000-0008-0000-0000-0000072F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16</xdr:row>
          <xdr:rowOff>95250</xdr:rowOff>
        </xdr:from>
        <xdr:to>
          <xdr:col>10</xdr:col>
          <xdr:colOff>352424</xdr:colOff>
          <xdr:row>21</xdr:row>
          <xdr:rowOff>123825</xdr:rowOff>
        </xdr:to>
        <xdr:sp macro="" textlink="">
          <xdr:nvSpPr>
            <xdr:cNvPr id="1033" name="Button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029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Optimize!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352425</xdr:colOff>
          <xdr:row>22</xdr:row>
          <xdr:rowOff>123824</xdr:rowOff>
        </xdr:from>
        <xdr:to>
          <xdr:col>10</xdr:col>
          <xdr:colOff>342900</xdr:colOff>
          <xdr:row>25</xdr:row>
          <xdr:rowOff>95249</xdr:rowOff>
        </xdr:to>
        <xdr:sp macro="" textlink="">
          <xdr:nvSpPr>
            <xdr:cNvPr id="1034" name="Button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46193AFD-6AE1-4ACD-9BA0-FF146C05C67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029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Export!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1:AR340"/>
  <sheetViews>
    <sheetView showGridLines="0" tabSelected="1" zoomScaleNormal="100" workbookViewId="0">
      <selection activeCell="F31" sqref="F31"/>
    </sheetView>
  </sheetViews>
  <sheetFormatPr defaultRowHeight="11.25" x14ac:dyDescent="0.2"/>
  <cols>
    <col min="1" max="1" width="2.140625" style="132" bestFit="1" customWidth="1"/>
    <col min="2" max="2" width="15.7109375" style="132" bestFit="1" customWidth="1"/>
    <col min="3" max="3" width="1.85546875" style="132" bestFit="1" customWidth="1"/>
    <col min="4" max="4" width="5.7109375" style="132" bestFit="1" customWidth="1"/>
    <col min="5" max="5" width="4.5703125" style="132" bestFit="1" customWidth="1"/>
    <col min="6" max="6" width="4.85546875" style="132" bestFit="1" customWidth="1"/>
    <col min="7" max="7" width="5.42578125" style="132" bestFit="1" customWidth="1"/>
    <col min="8" max="8" width="6.42578125" style="132" bestFit="1" customWidth="1"/>
    <col min="9" max="9" width="17.7109375" style="132" bestFit="1" customWidth="1"/>
    <col min="10" max="10" width="1.42578125" style="132" bestFit="1" customWidth="1"/>
    <col min="11" max="11" width="5.7109375" style="132" bestFit="1" customWidth="1"/>
    <col min="12" max="12" width="4.85546875" style="132" bestFit="1" customWidth="1"/>
    <col min="13" max="13" width="3.7109375" style="132" bestFit="1" customWidth="1"/>
    <col min="14" max="14" width="6" style="132" customWidth="1"/>
    <col min="15" max="15" width="4" style="132" bestFit="1" customWidth="1"/>
    <col min="16" max="16" width="10.42578125" style="132" bestFit="1" customWidth="1"/>
    <col min="17" max="17" width="3.7109375" style="132" bestFit="1" customWidth="1"/>
    <col min="18" max="18" width="4" style="132" bestFit="1" customWidth="1"/>
    <col min="19" max="19" width="4.85546875" style="132" bestFit="1" customWidth="1"/>
    <col min="20" max="20" width="5.7109375" style="132" bestFit="1" customWidth="1"/>
    <col min="21" max="22" width="4.85546875" style="132" bestFit="1" customWidth="1"/>
    <col min="23" max="23" width="5.7109375" style="132" bestFit="1" customWidth="1"/>
    <col min="24" max="24" width="4.85546875" style="132" bestFit="1" customWidth="1"/>
    <col min="25" max="26" width="9.85546875" style="132" customWidth="1"/>
    <col min="27" max="27" width="2.5703125" style="132" customWidth="1"/>
    <col min="28" max="28" width="17.85546875" style="132" bestFit="1" customWidth="1"/>
    <col min="29" max="29" width="2.7109375" style="132" bestFit="1" customWidth="1"/>
    <col min="30" max="30" width="5.28515625" style="132" bestFit="1" customWidth="1"/>
    <col min="31" max="31" width="5.7109375" style="132" bestFit="1" customWidth="1"/>
    <col min="32" max="32" width="7.42578125" style="132" bestFit="1" customWidth="1"/>
    <col min="33" max="33" width="5.28515625" style="132" bestFit="1" customWidth="1"/>
    <col min="34" max="34" width="4" style="132" bestFit="1" customWidth="1"/>
    <col min="35" max="35" width="4.42578125" style="132" bestFit="1" customWidth="1"/>
    <col min="36" max="36" width="5.42578125" style="132" bestFit="1" customWidth="1"/>
    <col min="37" max="37" width="4.5703125" style="132" bestFit="1" customWidth="1"/>
    <col min="38" max="38" width="4.85546875" style="132" bestFit="1" customWidth="1"/>
    <col min="39" max="39" width="3" style="132" bestFit="1" customWidth="1"/>
    <col min="40" max="40" width="4" style="132" bestFit="1" customWidth="1"/>
    <col min="41" max="41" width="4.85546875" style="132" bestFit="1" customWidth="1"/>
    <col min="42" max="43" width="4.42578125" style="132" bestFit="1" customWidth="1"/>
    <col min="44" max="44" width="5" style="132" bestFit="1" customWidth="1"/>
    <col min="45" max="45" width="2" style="132" bestFit="1" customWidth="1"/>
    <col min="46" max="46" width="4.42578125" style="132" bestFit="1" customWidth="1"/>
    <col min="47" max="47" width="5" style="132" bestFit="1" customWidth="1"/>
    <col min="48" max="48" width="3.7109375" style="132" bestFit="1" customWidth="1"/>
    <col min="49" max="16384" width="9.140625" style="132"/>
  </cols>
  <sheetData>
    <row r="1" spans="2:32" x14ac:dyDescent="0.2">
      <c r="B1" s="130" t="s">
        <v>77</v>
      </c>
      <c r="C1" s="130" t="s">
        <v>0</v>
      </c>
      <c r="D1" s="131">
        <v>0.2</v>
      </c>
      <c r="E1" s="9" t="s">
        <v>79</v>
      </c>
    </row>
    <row r="3" spans="2:32" ht="12" thickBot="1" x14ac:dyDescent="0.25">
      <c r="B3" s="130" t="s">
        <v>56</v>
      </c>
    </row>
    <row r="4" spans="2:32" ht="12" thickBot="1" x14ac:dyDescent="0.25">
      <c r="B4" s="133" t="s">
        <v>24</v>
      </c>
      <c r="C4" s="134" t="s">
        <v>0</v>
      </c>
      <c r="D4" s="135">
        <v>32</v>
      </c>
      <c r="E4" s="132" t="s">
        <v>22</v>
      </c>
      <c r="F4" s="136">
        <f>D4/2.54</f>
        <v>12.598425196850393</v>
      </c>
      <c r="G4" s="132" t="s">
        <v>48</v>
      </c>
      <c r="H4" s="137"/>
      <c r="I4" s="138" t="s">
        <v>27</v>
      </c>
      <c r="J4" s="138"/>
      <c r="K4" s="139"/>
    </row>
    <row r="5" spans="2:32" ht="13.5" thickBot="1" x14ac:dyDescent="0.25">
      <c r="B5" s="133" t="s">
        <v>29</v>
      </c>
      <c r="C5" s="134" t="s">
        <v>0</v>
      </c>
      <c r="D5" s="135">
        <v>30</v>
      </c>
      <c r="E5" s="132" t="s">
        <v>22</v>
      </c>
      <c r="F5" s="140">
        <f>D5/2.54</f>
        <v>11.811023622047244</v>
      </c>
      <c r="G5" s="132" t="s">
        <v>48</v>
      </c>
      <c r="H5" s="141" t="s">
        <v>5</v>
      </c>
      <c r="I5" s="210" t="s">
        <v>72</v>
      </c>
      <c r="J5" s="211"/>
      <c r="K5" s="212"/>
    </row>
    <row r="6" spans="2:32" ht="13.5" thickBot="1" x14ac:dyDescent="0.25">
      <c r="B6" s="133" t="s">
        <v>30</v>
      </c>
      <c r="C6" s="134" t="s">
        <v>0</v>
      </c>
      <c r="D6" s="135">
        <f>6*2.54</f>
        <v>15.24</v>
      </c>
      <c r="E6" s="132" t="s">
        <v>22</v>
      </c>
      <c r="F6" s="136">
        <f>D6/2.54</f>
        <v>6</v>
      </c>
      <c r="G6" s="132" t="s">
        <v>48</v>
      </c>
      <c r="H6" s="142" t="s">
        <v>5</v>
      </c>
      <c r="I6" s="216" t="s">
        <v>73</v>
      </c>
      <c r="J6" s="217"/>
      <c r="K6" s="218"/>
    </row>
    <row r="7" spans="2:32" ht="13.5" thickBot="1" x14ac:dyDescent="0.25">
      <c r="B7" s="133" t="s">
        <v>25</v>
      </c>
      <c r="C7" s="134" t="s">
        <v>0</v>
      </c>
      <c r="D7" s="135">
        <v>23</v>
      </c>
      <c r="E7" s="132" t="s">
        <v>22</v>
      </c>
      <c r="F7" s="136">
        <f>D7/2.54</f>
        <v>9.0551181102362204</v>
      </c>
      <c r="G7" s="132" t="s">
        <v>48</v>
      </c>
      <c r="H7" s="142" t="s">
        <v>5</v>
      </c>
      <c r="I7" s="216" t="s">
        <v>74</v>
      </c>
      <c r="J7" s="217"/>
      <c r="K7" s="218"/>
    </row>
    <row r="8" spans="2:32" ht="13.5" thickBot="1" x14ac:dyDescent="0.25">
      <c r="B8" s="143" t="s">
        <v>26</v>
      </c>
      <c r="C8" s="144" t="s">
        <v>0</v>
      </c>
      <c r="D8" s="145">
        <v>5.0999999999999996</v>
      </c>
      <c r="E8" s="132" t="s">
        <v>22</v>
      </c>
      <c r="F8" s="146">
        <f>D8/2.54</f>
        <v>2.0078740157480315</v>
      </c>
      <c r="G8" s="132" t="s">
        <v>48</v>
      </c>
      <c r="H8" s="142" t="s">
        <v>5</v>
      </c>
      <c r="I8" s="216" t="s">
        <v>75</v>
      </c>
      <c r="J8" s="217"/>
      <c r="K8" s="218"/>
    </row>
    <row r="9" spans="2:32" ht="13.5" thickBot="1" x14ac:dyDescent="0.25">
      <c r="D9" s="147"/>
      <c r="H9" s="204" t="s">
        <v>5</v>
      </c>
      <c r="I9" s="219" t="s">
        <v>76</v>
      </c>
      <c r="J9" s="220"/>
      <c r="K9" s="221"/>
    </row>
    <row r="10" spans="2:32" ht="12" thickBot="1" x14ac:dyDescent="0.25">
      <c r="B10" s="130" t="s">
        <v>55</v>
      </c>
      <c r="D10" s="147"/>
    </row>
    <row r="11" spans="2:32" ht="12" thickBot="1" x14ac:dyDescent="0.25">
      <c r="B11" s="148" t="s">
        <v>59</v>
      </c>
      <c r="C11" s="149" t="s">
        <v>0</v>
      </c>
      <c r="D11" s="150">
        <f>48*2.54</f>
        <v>121.92</v>
      </c>
      <c r="E11" s="132" t="s">
        <v>22</v>
      </c>
      <c r="F11" s="208">
        <f>D11/2.54</f>
        <v>48</v>
      </c>
      <c r="G11" s="132" t="s">
        <v>48</v>
      </c>
      <c r="H11" s="137"/>
      <c r="I11" s="138" t="s">
        <v>27</v>
      </c>
      <c r="J11" s="138"/>
      <c r="K11" s="139"/>
    </row>
    <row r="12" spans="2:32" ht="13.5" thickBot="1" x14ac:dyDescent="0.25">
      <c r="B12" s="151" t="s">
        <v>58</v>
      </c>
      <c r="C12" s="152" t="s">
        <v>0</v>
      </c>
      <c r="D12" s="153">
        <f>14*2.54</f>
        <v>35.56</v>
      </c>
      <c r="E12" s="132" t="s">
        <v>22</v>
      </c>
      <c r="F12" s="208">
        <f>D12/2.54</f>
        <v>14</v>
      </c>
      <c r="G12" s="132" t="s">
        <v>48</v>
      </c>
      <c r="H12" s="205" t="s">
        <v>5</v>
      </c>
      <c r="I12" s="157" t="s">
        <v>20</v>
      </c>
      <c r="J12" s="158"/>
      <c r="K12" s="159"/>
    </row>
    <row r="13" spans="2:32" ht="13.5" thickBot="1" x14ac:dyDescent="0.25">
      <c r="B13" s="148" t="s">
        <v>78</v>
      </c>
      <c r="C13" s="154" t="s">
        <v>0</v>
      </c>
      <c r="D13" s="150">
        <f>16*2.54</f>
        <v>40.64</v>
      </c>
      <c r="E13" s="155" t="s">
        <v>22</v>
      </c>
      <c r="F13" s="209">
        <f>D13/2.54</f>
        <v>16</v>
      </c>
      <c r="G13" s="132" t="s">
        <v>48</v>
      </c>
      <c r="H13" s="203" t="s">
        <v>5</v>
      </c>
      <c r="I13" s="160" t="s">
        <v>51</v>
      </c>
      <c r="J13" s="161"/>
      <c r="K13" s="162"/>
    </row>
    <row r="14" spans="2:32" ht="13.5" thickBot="1" x14ac:dyDescent="0.25">
      <c r="D14" s="147"/>
      <c r="F14" s="9"/>
      <c r="H14" s="203" t="s">
        <v>5</v>
      </c>
      <c r="I14" s="160" t="s">
        <v>21</v>
      </c>
      <c r="J14" s="161"/>
      <c r="K14" s="162"/>
      <c r="AE14" s="156"/>
      <c r="AF14" s="156"/>
    </row>
    <row r="15" spans="2:32" ht="13.5" thickBot="1" x14ac:dyDescent="0.25">
      <c r="B15" s="148" t="s">
        <v>52</v>
      </c>
      <c r="C15" s="149" t="s">
        <v>0</v>
      </c>
      <c r="D15" s="150">
        <v>0</v>
      </c>
      <c r="E15" s="132" t="s">
        <v>22</v>
      </c>
      <c r="F15" s="208">
        <f>D15/2.54</f>
        <v>0</v>
      </c>
      <c r="G15" s="132" t="s">
        <v>48</v>
      </c>
      <c r="H15" s="204" t="s">
        <v>80</v>
      </c>
      <c r="I15" s="213" t="s">
        <v>50</v>
      </c>
      <c r="J15" s="214"/>
      <c r="K15" s="215"/>
      <c r="AE15" s="156"/>
      <c r="AF15" s="156"/>
    </row>
    <row r="16" spans="2:32" x14ac:dyDescent="0.2">
      <c r="D16" s="147"/>
      <c r="AE16" s="156"/>
      <c r="AF16" s="156"/>
    </row>
    <row r="17" spans="2:31" ht="12" thickBot="1" x14ac:dyDescent="0.25">
      <c r="B17" s="130" t="s">
        <v>54</v>
      </c>
      <c r="D17" s="147"/>
      <c r="F17" s="163"/>
    </row>
    <row r="18" spans="2:31" ht="12" thickBot="1" x14ac:dyDescent="0.25">
      <c r="B18" s="164" t="s">
        <v>13</v>
      </c>
      <c r="C18" s="165" t="s">
        <v>0</v>
      </c>
      <c r="D18" s="223">
        <v>260</v>
      </c>
      <c r="E18" s="132" t="s">
        <v>18</v>
      </c>
    </row>
    <row r="19" spans="2:31" ht="12" thickBot="1" x14ac:dyDescent="0.25">
      <c r="B19" s="164" t="s">
        <v>37</v>
      </c>
      <c r="C19" s="165" t="s">
        <v>0</v>
      </c>
      <c r="D19" s="222">
        <f>Path!D4</f>
        <v>312.13677719958332</v>
      </c>
      <c r="E19" s="132" t="s">
        <v>18</v>
      </c>
      <c r="AD19" s="166"/>
    </row>
    <row r="20" spans="2:31" ht="12" thickBot="1" x14ac:dyDescent="0.25">
      <c r="B20" s="164" t="s">
        <v>44</v>
      </c>
      <c r="C20" s="165" t="s">
        <v>0</v>
      </c>
      <c r="D20" s="222">
        <f>Path!D5</f>
        <v>812.7667604256925</v>
      </c>
      <c r="E20" s="132" t="s">
        <v>18</v>
      </c>
      <c r="AD20" s="166"/>
    </row>
    <row r="21" spans="2:31" ht="12" thickBot="1" x14ac:dyDescent="0.25">
      <c r="B21" s="164" t="s">
        <v>14</v>
      </c>
      <c r="C21" s="165" t="s">
        <v>0</v>
      </c>
      <c r="D21" s="222">
        <f>Path!D6</f>
        <v>865.41320037178957</v>
      </c>
      <c r="E21" s="132" t="s">
        <v>18</v>
      </c>
      <c r="G21" s="166"/>
      <c r="AE21" s="156"/>
    </row>
    <row r="22" spans="2:31" ht="12" thickBot="1" x14ac:dyDescent="0.25">
      <c r="B22" s="164" t="s">
        <v>23</v>
      </c>
      <c r="C22" s="165" t="s">
        <v>0</v>
      </c>
      <c r="D22" s="223">
        <v>18</v>
      </c>
      <c r="E22" s="132" t="s">
        <v>22</v>
      </c>
    </row>
    <row r="23" spans="2:31" ht="12" thickBot="1" x14ac:dyDescent="0.25">
      <c r="B23" s="164" t="s">
        <v>47</v>
      </c>
      <c r="C23" s="165" t="s">
        <v>0</v>
      </c>
      <c r="D23" s="222">
        <f>Path!F5</f>
        <v>192.42621898559378</v>
      </c>
      <c r="E23" s="132" t="s">
        <v>22</v>
      </c>
    </row>
    <row r="24" spans="2:31" ht="12" thickBot="1" x14ac:dyDescent="0.25">
      <c r="B24" s="164" t="s">
        <v>46</v>
      </c>
      <c r="C24" s="165" t="s">
        <v>0</v>
      </c>
      <c r="D24" s="222">
        <f>Path!F6</f>
        <v>20.055115769111751</v>
      </c>
      <c r="E24" s="132" t="s">
        <v>22</v>
      </c>
    </row>
    <row r="25" spans="2:31" ht="12" thickBot="1" x14ac:dyDescent="0.25">
      <c r="B25" s="164" t="s">
        <v>42</v>
      </c>
      <c r="C25" s="165" t="s">
        <v>0</v>
      </c>
      <c r="D25" s="222">
        <f>SUM(D22:D24)</f>
        <v>230.48133475470553</v>
      </c>
      <c r="E25" s="132" t="s">
        <v>22</v>
      </c>
    </row>
    <row r="26" spans="2:31" ht="12" thickBot="1" x14ac:dyDescent="0.25"/>
    <row r="27" spans="2:31" ht="12" thickBot="1" x14ac:dyDescent="0.25">
      <c r="K27" s="227">
        <f>ROUND(SUM(ABS(G31-F31)+ABS(G33)+ABS(G37)+ABS(G38)),2)</f>
        <v>0</v>
      </c>
    </row>
    <row r="28" spans="2:31" ht="12" thickBot="1" x14ac:dyDescent="0.25">
      <c r="B28" s="130" t="s">
        <v>57</v>
      </c>
    </row>
    <row r="29" spans="2:31" x14ac:dyDescent="0.2">
      <c r="B29" s="167" t="s">
        <v>16</v>
      </c>
      <c r="C29" s="168" t="s">
        <v>0</v>
      </c>
      <c r="D29" s="169">
        <f>D30-I40</f>
        <v>136.95719937832413</v>
      </c>
      <c r="E29" s="170" t="s">
        <v>15</v>
      </c>
      <c r="F29" s="171">
        <f>(D29*1000/2.54^3)/1728</f>
        <v>4.8365978511539813</v>
      </c>
      <c r="G29" s="172" t="s">
        <v>2</v>
      </c>
      <c r="H29" s="172"/>
      <c r="I29" s="172"/>
      <c r="J29" s="172"/>
      <c r="K29" s="173"/>
    </row>
    <row r="30" spans="2:31" x14ac:dyDescent="0.2">
      <c r="B30" s="174" t="s">
        <v>17</v>
      </c>
      <c r="C30" s="175" t="s">
        <v>0</v>
      </c>
      <c r="D30" s="176">
        <f>(D11*D12*D13)/10^3</f>
        <v>176.19371212800004</v>
      </c>
      <c r="E30" s="177" t="s">
        <v>15</v>
      </c>
      <c r="F30" s="178">
        <f>(D30*1000/2.54^3)/1728</f>
        <v>6.2222222222222241</v>
      </c>
      <c r="G30" s="179" t="s">
        <v>2</v>
      </c>
      <c r="H30" s="179"/>
      <c r="I30" s="179"/>
      <c r="J30" s="179"/>
      <c r="K30" s="180"/>
    </row>
    <row r="31" spans="2:31" x14ac:dyDescent="0.2">
      <c r="B31" s="174" t="s">
        <v>60</v>
      </c>
      <c r="C31" s="175" t="s">
        <v>0</v>
      </c>
      <c r="D31" s="179"/>
      <c r="E31" s="179"/>
      <c r="F31" s="206">
        <v>4.6093600938623895</v>
      </c>
      <c r="G31" s="207">
        <f>Path!D11</f>
        <v>4.6093928963511797</v>
      </c>
      <c r="H31" s="179"/>
      <c r="I31" s="179"/>
      <c r="J31" s="179"/>
      <c r="K31" s="180"/>
    </row>
    <row r="32" spans="2:31" x14ac:dyDescent="0.2">
      <c r="B32" s="174" t="s">
        <v>10</v>
      </c>
      <c r="C32" s="175"/>
      <c r="D32" s="181" t="s">
        <v>9</v>
      </c>
      <c r="E32" s="181" t="s">
        <v>5</v>
      </c>
      <c r="F32" s="181" t="s">
        <v>6</v>
      </c>
      <c r="G32" s="181"/>
      <c r="H32" s="181" t="s">
        <v>11</v>
      </c>
      <c r="I32" s="181" t="s">
        <v>31</v>
      </c>
      <c r="J32" s="175"/>
      <c r="K32" s="182"/>
    </row>
    <row r="33" spans="2:11" x14ac:dyDescent="0.2">
      <c r="B33" s="183" t="str">
        <f>I5</f>
        <v>Panel A (front)</v>
      </c>
      <c r="C33" s="177"/>
      <c r="D33" s="184">
        <v>1.91</v>
      </c>
      <c r="E33" s="185">
        <f>D12-2*D34</f>
        <v>32.56</v>
      </c>
      <c r="F33" s="189">
        <v>91.520970504551926</v>
      </c>
      <c r="G33" s="207">
        <f>Path!R55</f>
        <v>5.9862709349545185E-6</v>
      </c>
      <c r="H33" s="186">
        <v>1</v>
      </c>
      <c r="I33" s="187">
        <f t="shared" ref="I33:I37" si="0">F33*E33*D33*H33/10^3</f>
        <v>5.6916525472898831</v>
      </c>
      <c r="J33" s="177"/>
      <c r="K33" s="180"/>
    </row>
    <row r="34" spans="2:11" x14ac:dyDescent="0.2">
      <c r="B34" s="183" t="str">
        <f>I7</f>
        <v>Panel C (sides)</v>
      </c>
      <c r="C34" s="177"/>
      <c r="D34" s="184">
        <v>1.5</v>
      </c>
      <c r="E34" s="185">
        <f>Panels!K19</f>
        <v>40.64</v>
      </c>
      <c r="F34" s="185">
        <f>Panels!K20</f>
        <v>121.92</v>
      </c>
      <c r="G34" s="186"/>
      <c r="H34" s="186">
        <v>2</v>
      </c>
      <c r="I34" s="187">
        <f t="shared" si="0"/>
        <v>14.864486400000002</v>
      </c>
      <c r="J34" s="177"/>
      <c r="K34" s="188"/>
    </row>
    <row r="35" spans="2:11" x14ac:dyDescent="0.2">
      <c r="B35" s="183" t="str">
        <f>I8</f>
        <v>Panel D (top, bottom)</v>
      </c>
      <c r="C35" s="177"/>
      <c r="D35" s="184">
        <v>1.91</v>
      </c>
      <c r="E35" s="185">
        <f>E37</f>
        <v>32.56</v>
      </c>
      <c r="F35" s="185">
        <f>Panels!K25</f>
        <v>40.64</v>
      </c>
      <c r="G35" s="186"/>
      <c r="H35" s="186">
        <v>2</v>
      </c>
      <c r="I35" s="187">
        <f t="shared" si="0"/>
        <v>5.0547706880000005</v>
      </c>
      <c r="J35" s="177"/>
      <c r="K35" s="188"/>
    </row>
    <row r="36" spans="2:11" x14ac:dyDescent="0.2">
      <c r="B36" s="183" t="str">
        <f>I6</f>
        <v>Panel B (back)</v>
      </c>
      <c r="C36" s="177"/>
      <c r="D36" s="184">
        <v>1.91</v>
      </c>
      <c r="E36" s="185">
        <f>E37</f>
        <v>32.56</v>
      </c>
      <c r="F36" s="185">
        <f>Panels!K13</f>
        <v>118.10000000000001</v>
      </c>
      <c r="G36" s="186"/>
      <c r="H36" s="186">
        <v>1</v>
      </c>
      <c r="I36" s="187">
        <f t="shared" si="0"/>
        <v>7.344591760000001</v>
      </c>
      <c r="J36" s="177"/>
      <c r="K36" s="188"/>
    </row>
    <row r="37" spans="2:11" x14ac:dyDescent="0.2">
      <c r="B37" s="183" t="str">
        <f>I9</f>
        <v>Panel E (1st inside)</v>
      </c>
      <c r="C37" s="177"/>
      <c r="D37" s="184">
        <v>1.91</v>
      </c>
      <c r="E37" s="185">
        <f>E33</f>
        <v>32.56</v>
      </c>
      <c r="F37" s="189">
        <v>100.99777703001823</v>
      </c>
      <c r="G37" s="207">
        <f>Path!R46</f>
        <v>-2.4058941511384546E-3</v>
      </c>
      <c r="H37" s="186">
        <v>1</v>
      </c>
      <c r="I37" s="187">
        <f t="shared" si="0"/>
        <v>6.2810113543860213</v>
      </c>
      <c r="J37" s="177"/>
      <c r="K37" s="188"/>
    </row>
    <row r="38" spans="2:11" x14ac:dyDescent="0.2">
      <c r="B38" s="183"/>
      <c r="C38" s="177"/>
      <c r="D38" s="185"/>
      <c r="E38" s="185"/>
      <c r="F38" s="189">
        <v>10.036066860953762</v>
      </c>
      <c r="G38" s="207">
        <f>Path!H3</f>
        <v>1.4837051718359362E-3</v>
      </c>
      <c r="H38" s="186"/>
      <c r="I38" s="187"/>
      <c r="J38" s="177"/>
      <c r="K38" s="188"/>
    </row>
    <row r="39" spans="2:11" x14ac:dyDescent="0.2">
      <c r="B39" s="190"/>
      <c r="C39" s="179"/>
      <c r="D39" s="179"/>
      <c r="E39" s="179"/>
      <c r="F39" s="179"/>
      <c r="G39" s="179"/>
      <c r="H39" s="179"/>
      <c r="I39" s="179"/>
      <c r="J39" s="179"/>
      <c r="K39" s="180"/>
    </row>
    <row r="40" spans="2:11" ht="12" thickBot="1" x14ac:dyDescent="0.25">
      <c r="B40" s="191"/>
      <c r="C40" s="192"/>
      <c r="D40" s="193"/>
      <c r="E40" s="194"/>
      <c r="F40" s="192"/>
      <c r="G40" s="192"/>
      <c r="H40" s="194" t="s">
        <v>41</v>
      </c>
      <c r="I40" s="195">
        <f>SUM(I33:I38)</f>
        <v>39.23651274967591</v>
      </c>
      <c r="J40" s="194" t="s">
        <v>19</v>
      </c>
      <c r="K40" s="196"/>
    </row>
    <row r="41" spans="2:11" ht="12" thickBot="1" x14ac:dyDescent="0.25"/>
    <row r="42" spans="2:11" ht="12" thickBot="1" x14ac:dyDescent="0.25">
      <c r="B42" s="228" t="s">
        <v>81</v>
      </c>
      <c r="C42" s="229" t="s">
        <v>0</v>
      </c>
      <c r="D42" s="230">
        <v>2000</v>
      </c>
      <c r="E42" s="1" t="s">
        <v>82</v>
      </c>
    </row>
    <row r="43" spans="2:11" ht="12" thickBot="1" x14ac:dyDescent="0.25">
      <c r="B43" s="228" t="s">
        <v>83</v>
      </c>
      <c r="C43" s="231" t="s">
        <v>0</v>
      </c>
      <c r="D43" s="230">
        <v>0</v>
      </c>
      <c r="E43" s="1" t="s">
        <v>82</v>
      </c>
    </row>
    <row r="44" spans="2:11" ht="12" thickBot="1" x14ac:dyDescent="0.25">
      <c r="B44" s="32" t="s">
        <v>84</v>
      </c>
      <c r="C44" s="232" t="s">
        <v>0</v>
      </c>
      <c r="D44" s="233">
        <f>D42-D43</f>
        <v>2000</v>
      </c>
      <c r="E44" s="1" t="s">
        <v>18</v>
      </c>
    </row>
    <row r="52" spans="2:18" x14ac:dyDescent="0.2">
      <c r="B52" s="197"/>
      <c r="C52" s="198"/>
      <c r="D52" s="199"/>
    </row>
    <row r="53" spans="2:18" x14ac:dyDescent="0.2">
      <c r="B53" s="197"/>
      <c r="C53" s="198"/>
      <c r="D53" s="200"/>
    </row>
    <row r="54" spans="2:18" x14ac:dyDescent="0.2">
      <c r="B54" s="197"/>
      <c r="C54" s="201"/>
      <c r="D54" s="156"/>
    </row>
    <row r="55" spans="2:18" x14ac:dyDescent="0.2">
      <c r="B55" s="197"/>
      <c r="D55" s="156"/>
    </row>
    <row r="56" spans="2:18" x14ac:dyDescent="0.2">
      <c r="D56" s="156"/>
      <c r="F56" s="156"/>
    </row>
    <row r="57" spans="2:18" x14ac:dyDescent="0.2">
      <c r="B57" s="234" t="s">
        <v>85</v>
      </c>
      <c r="C57" s="235" t="s">
        <v>0</v>
      </c>
      <c r="D57" s="236" t="s">
        <v>86</v>
      </c>
      <c r="E57" s="237"/>
      <c r="F57" s="237"/>
      <c r="G57" s="237"/>
      <c r="H57" s="237"/>
      <c r="I57" s="237"/>
      <c r="J57" s="237"/>
      <c r="K57" s="237"/>
      <c r="L57" s="237"/>
      <c r="M57" s="237"/>
      <c r="N57" s="237"/>
      <c r="O57" s="237"/>
      <c r="P57" s="237"/>
      <c r="Q57" s="237"/>
      <c r="R57" s="238"/>
    </row>
    <row r="58" spans="2:18" x14ac:dyDescent="0.2">
      <c r="B58" s="1"/>
      <c r="C58" s="1"/>
      <c r="D58" s="1"/>
      <c r="E58" s="1"/>
      <c r="F58" s="1"/>
      <c r="G58" s="1"/>
      <c r="H58" s="1"/>
      <c r="I58" s="7"/>
      <c r="J58" s="7"/>
      <c r="K58" s="1"/>
      <c r="L58" s="1"/>
      <c r="M58" s="1"/>
      <c r="N58" s="1"/>
      <c r="O58" s="1"/>
      <c r="P58" s="1"/>
      <c r="Q58" s="1"/>
      <c r="R58" s="1"/>
    </row>
    <row r="59" spans="2:18" x14ac:dyDescent="0.2">
      <c r="B59" s="234" t="s">
        <v>87</v>
      </c>
      <c r="C59" s="235" t="s">
        <v>0</v>
      </c>
      <c r="D59" s="239" t="s">
        <v>88</v>
      </c>
      <c r="E59" s="240"/>
      <c r="F59" s="240"/>
      <c r="G59" s="240"/>
      <c r="H59" s="241"/>
      <c r="I59" s="7"/>
      <c r="J59" s="242" t="str">
        <f>CONCATENATE(B59,C59,D59)</f>
        <v>ID=29.00</v>
      </c>
      <c r="K59" s="1"/>
      <c r="L59" s="1"/>
      <c r="M59" s="1"/>
      <c r="N59" s="1"/>
      <c r="O59" s="1"/>
      <c r="P59" s="1"/>
      <c r="Q59" s="1"/>
      <c r="R59" s="1"/>
    </row>
    <row r="60" spans="2:18" x14ac:dyDescent="0.2">
      <c r="B60" s="234" t="s">
        <v>89</v>
      </c>
      <c r="C60" s="235" t="s">
        <v>0</v>
      </c>
      <c r="D60" s="239" t="s">
        <v>90</v>
      </c>
      <c r="E60" s="240"/>
      <c r="F60" s="240"/>
      <c r="G60" s="240"/>
      <c r="H60" s="241"/>
      <c r="I60" s="7"/>
      <c r="J60" s="242" t="str">
        <f t="shared" ref="J60:J96" si="1">CONCATENATE(B60,C60,D60)</f>
        <v>Ang=2.0 x PI</v>
      </c>
      <c r="K60" s="1"/>
      <c r="L60" s="1"/>
      <c r="M60" s="1"/>
      <c r="N60" s="1"/>
      <c r="O60" s="1"/>
      <c r="P60" s="1"/>
      <c r="Q60" s="1"/>
      <c r="R60" s="1"/>
    </row>
    <row r="61" spans="2:18" x14ac:dyDescent="0.2">
      <c r="B61" s="234" t="s">
        <v>91</v>
      </c>
      <c r="C61" s="235" t="s">
        <v>0</v>
      </c>
      <c r="D61" s="243">
        <v>2.83</v>
      </c>
      <c r="E61" s="244"/>
      <c r="F61" s="244"/>
      <c r="G61" s="244"/>
      <c r="H61" s="245"/>
      <c r="I61" s="7"/>
      <c r="J61" s="242" t="str">
        <f t="shared" si="1"/>
        <v>Eg=2.83</v>
      </c>
      <c r="K61" s="1"/>
      <c r="L61" s="1"/>
      <c r="M61" s="1"/>
      <c r="N61" s="1"/>
      <c r="O61" s="1"/>
      <c r="P61" s="1"/>
      <c r="Q61" s="1"/>
      <c r="R61" s="1"/>
    </row>
    <row r="62" spans="2:18" x14ac:dyDescent="0.2">
      <c r="B62" s="234" t="s">
        <v>92</v>
      </c>
      <c r="C62" s="235" t="s">
        <v>0</v>
      </c>
      <c r="D62" s="243">
        <v>0</v>
      </c>
      <c r="E62" s="244"/>
      <c r="F62" s="244"/>
      <c r="G62" s="244"/>
      <c r="H62" s="245"/>
      <c r="I62" s="1"/>
      <c r="J62" s="242" t="str">
        <f t="shared" si="1"/>
        <v>Rg=0</v>
      </c>
      <c r="K62" s="1"/>
      <c r="L62" s="1"/>
      <c r="M62" s="1"/>
      <c r="N62" s="1"/>
      <c r="O62" s="1"/>
      <c r="P62" s="1"/>
      <c r="Q62" s="1"/>
      <c r="R62" s="1"/>
    </row>
    <row r="63" spans="2:18" x14ac:dyDescent="0.2">
      <c r="B63" s="234" t="s">
        <v>93</v>
      </c>
      <c r="C63" s="235" t="s">
        <v>0</v>
      </c>
      <c r="D63" s="246">
        <v>0</v>
      </c>
      <c r="E63" s="247"/>
      <c r="F63" s="247"/>
      <c r="G63" s="247"/>
      <c r="H63" s="248"/>
      <c r="I63" s="1"/>
      <c r="J63" s="242" t="str">
        <f t="shared" si="1"/>
        <v>Fta=0</v>
      </c>
      <c r="K63" s="1"/>
      <c r="L63" s="1"/>
      <c r="M63" s="1"/>
      <c r="N63" s="1"/>
      <c r="O63" s="1"/>
      <c r="P63" s="1"/>
      <c r="Q63" s="1"/>
      <c r="R63" s="1"/>
    </row>
    <row r="64" spans="2:18" x14ac:dyDescent="0.2">
      <c r="B64" s="234" t="s">
        <v>13</v>
      </c>
      <c r="C64" s="235" t="s">
        <v>0</v>
      </c>
      <c r="D64" s="249">
        <f>ROUND(D18,0)</f>
        <v>260</v>
      </c>
      <c r="E64" s="250"/>
      <c r="F64" s="250"/>
      <c r="G64" s="250"/>
      <c r="H64" s="251"/>
      <c r="I64" s="1"/>
      <c r="J64" s="242" t="str">
        <f t="shared" si="1"/>
        <v>S1=260</v>
      </c>
      <c r="K64" s="1"/>
      <c r="L64" s="1"/>
      <c r="M64" s="1"/>
      <c r="N64" s="1"/>
      <c r="O64" s="1"/>
      <c r="P64" s="1"/>
      <c r="Q64" s="1"/>
      <c r="R64" s="1"/>
    </row>
    <row r="65" spans="2:18" x14ac:dyDescent="0.2">
      <c r="B65" s="234" t="s">
        <v>37</v>
      </c>
      <c r="C65" s="235" t="s">
        <v>0</v>
      </c>
      <c r="D65" s="249">
        <f>ROUND(D19,0)</f>
        <v>312</v>
      </c>
      <c r="E65" s="250"/>
      <c r="F65" s="250"/>
      <c r="G65" s="250"/>
      <c r="H65" s="251"/>
      <c r="I65" s="1"/>
      <c r="J65" s="242" t="str">
        <f t="shared" si="1"/>
        <v>S2=312</v>
      </c>
      <c r="K65" s="1"/>
      <c r="L65" s="1"/>
      <c r="M65" s="1"/>
      <c r="N65" s="1"/>
      <c r="O65" s="1"/>
      <c r="P65" s="1"/>
      <c r="Q65" s="1"/>
      <c r="R65" s="1"/>
    </row>
    <row r="66" spans="2:18" x14ac:dyDescent="0.2">
      <c r="B66" s="252" t="s">
        <v>117</v>
      </c>
      <c r="C66" s="235" t="s">
        <v>0</v>
      </c>
      <c r="D66" s="253">
        <f>ROUND(D22,1)</f>
        <v>18</v>
      </c>
      <c r="E66" s="247"/>
      <c r="F66" s="247"/>
      <c r="G66" s="247"/>
      <c r="H66" s="248"/>
      <c r="I66" s="1"/>
      <c r="J66" s="242" t="str">
        <f t="shared" si="1"/>
        <v>Par=18</v>
      </c>
      <c r="K66" s="1"/>
      <c r="L66" s="1"/>
      <c r="M66" s="1"/>
      <c r="N66" s="1"/>
      <c r="O66" s="1"/>
      <c r="P66" s="1"/>
      <c r="Q66" s="1"/>
      <c r="R66" s="1"/>
    </row>
    <row r="67" spans="2:18" x14ac:dyDescent="0.2">
      <c r="B67" s="234" t="s">
        <v>94</v>
      </c>
      <c r="C67" s="235" t="s">
        <v>0</v>
      </c>
      <c r="D67" s="246">
        <v>0</v>
      </c>
      <c r="E67" s="247"/>
      <c r="F67" s="247"/>
      <c r="G67" s="247"/>
      <c r="H67" s="248"/>
      <c r="I67" s="1"/>
      <c r="J67" s="242" t="str">
        <f t="shared" si="1"/>
        <v>F12=0</v>
      </c>
      <c r="K67" s="1"/>
      <c r="L67" s="1"/>
      <c r="M67" s="1"/>
      <c r="N67" s="1"/>
      <c r="O67" s="1"/>
      <c r="P67" s="1"/>
      <c r="Q67" s="1"/>
      <c r="R67" s="1"/>
    </row>
    <row r="68" spans="2:18" x14ac:dyDescent="0.2">
      <c r="B68" s="234" t="s">
        <v>37</v>
      </c>
      <c r="C68" s="235" t="s">
        <v>0</v>
      </c>
      <c r="D68" s="249">
        <f>ROUND(D65,0)</f>
        <v>312</v>
      </c>
      <c r="E68" s="250"/>
      <c r="F68" s="250"/>
      <c r="G68" s="250"/>
      <c r="H68" s="251"/>
      <c r="I68" s="1"/>
      <c r="J68" s="242" t="str">
        <f t="shared" si="1"/>
        <v>S2=312</v>
      </c>
      <c r="K68" s="1"/>
      <c r="L68" s="1"/>
      <c r="M68" s="1"/>
      <c r="N68" s="1"/>
      <c r="O68" s="1"/>
      <c r="P68" s="1"/>
      <c r="Q68" s="1"/>
      <c r="R68" s="1"/>
    </row>
    <row r="69" spans="2:18" x14ac:dyDescent="0.2">
      <c r="B69" s="234" t="s">
        <v>44</v>
      </c>
      <c r="C69" s="235" t="s">
        <v>0</v>
      </c>
      <c r="D69" s="249">
        <f>ROUND(D20,0)</f>
        <v>813</v>
      </c>
      <c r="E69" s="250"/>
      <c r="F69" s="250"/>
      <c r="G69" s="250"/>
      <c r="H69" s="251"/>
      <c r="I69" s="1"/>
      <c r="J69" s="242" t="str">
        <f t="shared" si="1"/>
        <v>S3=813</v>
      </c>
      <c r="K69" s="1"/>
      <c r="L69" s="1"/>
      <c r="M69" s="1"/>
      <c r="N69" s="1"/>
      <c r="O69" s="1"/>
      <c r="P69" s="1"/>
      <c r="Q69" s="1"/>
      <c r="R69" s="1"/>
    </row>
    <row r="70" spans="2:18" x14ac:dyDescent="0.2">
      <c r="B70" s="252" t="s">
        <v>117</v>
      </c>
      <c r="C70" s="235" t="s">
        <v>0</v>
      </c>
      <c r="D70" s="253">
        <f>ROUND(D23,1)</f>
        <v>192.4</v>
      </c>
      <c r="E70" s="247"/>
      <c r="F70" s="247"/>
      <c r="G70" s="247"/>
      <c r="H70" s="248"/>
      <c r="I70" s="1"/>
      <c r="J70" s="242" t="str">
        <f t="shared" si="1"/>
        <v>Par=192.4</v>
      </c>
      <c r="K70" s="1"/>
      <c r="L70" s="1"/>
      <c r="M70" s="1"/>
      <c r="N70" s="1"/>
      <c r="O70" s="1"/>
      <c r="P70" s="1"/>
      <c r="Q70" s="1"/>
      <c r="R70" s="1"/>
    </row>
    <row r="71" spans="2:18" x14ac:dyDescent="0.2">
      <c r="B71" s="234" t="s">
        <v>95</v>
      </c>
      <c r="C71" s="235" t="s">
        <v>0</v>
      </c>
      <c r="D71" s="246">
        <v>0</v>
      </c>
      <c r="E71" s="247"/>
      <c r="F71" s="247"/>
      <c r="G71" s="247"/>
      <c r="H71" s="248"/>
      <c r="I71" s="1"/>
      <c r="J71" s="242" t="str">
        <f t="shared" si="1"/>
        <v>F23=0</v>
      </c>
      <c r="K71" s="1"/>
      <c r="L71" s="1"/>
      <c r="M71" s="1"/>
      <c r="N71" s="1"/>
      <c r="O71" s="1"/>
      <c r="P71" s="1"/>
      <c r="Q71" s="1"/>
      <c r="R71" s="1"/>
    </row>
    <row r="72" spans="2:18" x14ac:dyDescent="0.2">
      <c r="B72" s="234" t="s">
        <v>44</v>
      </c>
      <c r="C72" s="235" t="s">
        <v>0</v>
      </c>
      <c r="D72" s="249">
        <f>D69</f>
        <v>813</v>
      </c>
      <c r="E72" s="250"/>
      <c r="F72" s="250"/>
      <c r="G72" s="250"/>
      <c r="H72" s="251"/>
      <c r="I72" s="1"/>
      <c r="J72" s="242" t="str">
        <f t="shared" si="1"/>
        <v>S3=813</v>
      </c>
      <c r="K72" s="1"/>
      <c r="L72" s="1"/>
      <c r="M72" s="1"/>
      <c r="N72" s="1"/>
      <c r="O72" s="1"/>
      <c r="P72" s="1"/>
      <c r="Q72" s="1"/>
      <c r="R72" s="1"/>
    </row>
    <row r="73" spans="2:18" x14ac:dyDescent="0.2">
      <c r="B73" s="234" t="s">
        <v>14</v>
      </c>
      <c r="C73" s="235" t="s">
        <v>0</v>
      </c>
      <c r="D73" s="249">
        <f>ROUND(D21,0)</f>
        <v>865</v>
      </c>
      <c r="E73" s="250"/>
      <c r="F73" s="250"/>
      <c r="G73" s="250"/>
      <c r="H73" s="251"/>
      <c r="I73" s="1"/>
      <c r="J73" s="242" t="str">
        <f t="shared" si="1"/>
        <v>S4=865</v>
      </c>
      <c r="K73" s="1"/>
      <c r="L73" s="1"/>
      <c r="M73" s="1"/>
      <c r="N73" s="1"/>
      <c r="O73" s="1"/>
      <c r="P73" s="1"/>
      <c r="Q73" s="1"/>
      <c r="R73" s="1"/>
    </row>
    <row r="74" spans="2:18" x14ac:dyDescent="0.2">
      <c r="B74" s="252" t="s">
        <v>117</v>
      </c>
      <c r="C74" s="235" t="s">
        <v>0</v>
      </c>
      <c r="D74" s="253">
        <f>ROUND(D24,1)</f>
        <v>20.100000000000001</v>
      </c>
      <c r="E74" s="247"/>
      <c r="F74" s="247"/>
      <c r="G74" s="247"/>
      <c r="H74" s="248"/>
      <c r="I74" s="1"/>
      <c r="J74" s="242" t="str">
        <f t="shared" si="1"/>
        <v>Par=20.1</v>
      </c>
      <c r="K74" s="1"/>
      <c r="L74" s="1"/>
      <c r="M74" s="1"/>
      <c r="N74" s="1"/>
      <c r="O74" s="1"/>
      <c r="P74" s="1"/>
      <c r="Q74" s="1"/>
      <c r="R74" s="1"/>
    </row>
    <row r="75" spans="2:18" x14ac:dyDescent="0.2">
      <c r="B75" s="234" t="s">
        <v>96</v>
      </c>
      <c r="C75" s="235" t="s">
        <v>0</v>
      </c>
      <c r="D75" s="246">
        <v>0</v>
      </c>
      <c r="E75" s="247"/>
      <c r="F75" s="247"/>
      <c r="G75" s="247"/>
      <c r="H75" s="248"/>
      <c r="I75" s="1"/>
      <c r="J75" s="242" t="str">
        <f t="shared" si="1"/>
        <v>F34=0</v>
      </c>
      <c r="K75" s="1"/>
      <c r="L75" s="1"/>
      <c r="M75" s="1"/>
      <c r="N75" s="1"/>
      <c r="O75" s="1"/>
      <c r="P75" s="1"/>
      <c r="Q75" s="1"/>
      <c r="R75" s="1"/>
    </row>
    <row r="76" spans="2:18" x14ac:dyDescent="0.2">
      <c r="B76" s="234" t="s">
        <v>14</v>
      </c>
      <c r="C76" s="235" t="s">
        <v>0</v>
      </c>
      <c r="D76" s="249">
        <f>D73</f>
        <v>865</v>
      </c>
      <c r="E76" s="247"/>
      <c r="F76" s="247"/>
      <c r="G76" s="247"/>
      <c r="H76" s="248"/>
      <c r="I76" s="1"/>
      <c r="J76" s="242" t="str">
        <f t="shared" si="1"/>
        <v>S4=865</v>
      </c>
      <c r="K76" s="1"/>
      <c r="L76" s="1"/>
      <c r="M76" s="1"/>
      <c r="N76" s="1"/>
      <c r="O76" s="1"/>
      <c r="P76" s="1"/>
      <c r="Q76" s="1"/>
      <c r="R76" s="1"/>
    </row>
    <row r="77" spans="2:18" x14ac:dyDescent="0.2">
      <c r="B77" s="234" t="s">
        <v>45</v>
      </c>
      <c r="C77" s="235" t="s">
        <v>0</v>
      </c>
      <c r="D77" s="249">
        <f>ROUND(D14,0)</f>
        <v>0</v>
      </c>
      <c r="E77" s="247"/>
      <c r="F77" s="247"/>
      <c r="G77" s="247"/>
      <c r="H77" s="248"/>
      <c r="I77" s="1"/>
      <c r="J77" s="242" t="str">
        <f t="shared" si="1"/>
        <v>S5=0</v>
      </c>
      <c r="K77" s="1"/>
      <c r="L77" s="1"/>
      <c r="M77" s="1"/>
      <c r="N77" s="1"/>
      <c r="O77" s="1"/>
      <c r="P77" s="1"/>
      <c r="Q77" s="1"/>
      <c r="R77" s="1"/>
    </row>
    <row r="78" spans="2:18" x14ac:dyDescent="0.2">
      <c r="B78" s="252" t="s">
        <v>115</v>
      </c>
      <c r="C78" s="235" t="s">
        <v>0</v>
      </c>
      <c r="D78" s="253">
        <v>0</v>
      </c>
      <c r="E78" s="254"/>
      <c r="F78" s="254"/>
      <c r="G78" s="254"/>
      <c r="H78" s="255"/>
      <c r="I78" s="1"/>
      <c r="J78" s="242" t="str">
        <f t="shared" si="1"/>
        <v>L45=0</v>
      </c>
      <c r="K78" s="1"/>
      <c r="L78" s="1"/>
      <c r="M78" s="1"/>
      <c r="N78" s="1"/>
      <c r="O78" s="1"/>
      <c r="P78" s="1"/>
      <c r="Q78" s="1"/>
      <c r="R78" s="1"/>
    </row>
    <row r="79" spans="2:18" x14ac:dyDescent="0.2">
      <c r="B79" s="234" t="s">
        <v>97</v>
      </c>
      <c r="C79" s="235" t="s">
        <v>0</v>
      </c>
      <c r="D79" s="246">
        <v>0</v>
      </c>
      <c r="E79" s="247"/>
      <c r="F79" s="247"/>
      <c r="G79" s="247"/>
      <c r="H79" s="248"/>
      <c r="I79" s="1"/>
      <c r="J79" s="242" t="str">
        <f t="shared" si="1"/>
        <v>F45=0</v>
      </c>
      <c r="K79" s="1"/>
      <c r="L79" s="1"/>
      <c r="M79" s="1"/>
      <c r="N79" s="1"/>
      <c r="O79" s="1"/>
      <c r="P79" s="1"/>
      <c r="Q79" s="1"/>
      <c r="R79" s="1"/>
    </row>
    <row r="80" spans="2:18" x14ac:dyDescent="0.2">
      <c r="B80" s="234" t="s">
        <v>98</v>
      </c>
      <c r="C80" s="235" t="s">
        <v>0</v>
      </c>
      <c r="D80" s="256">
        <v>530.9</v>
      </c>
      <c r="E80" s="237"/>
      <c r="F80" s="237"/>
      <c r="G80" s="237"/>
      <c r="H80" s="238"/>
      <c r="I80" s="1"/>
      <c r="J80" s="242" t="str">
        <f t="shared" si="1"/>
        <v>Sd=530.9</v>
      </c>
      <c r="K80" s="1"/>
      <c r="L80" s="1"/>
      <c r="M80" s="1"/>
      <c r="N80" s="1"/>
      <c r="O80" s="1"/>
      <c r="P80" s="1"/>
      <c r="Q80" s="1"/>
      <c r="R80" s="1"/>
    </row>
    <row r="81" spans="2:18" x14ac:dyDescent="0.2">
      <c r="B81" s="234" t="s">
        <v>99</v>
      </c>
      <c r="C81" s="235" t="s">
        <v>0</v>
      </c>
      <c r="D81" s="256">
        <v>16.649999999999999</v>
      </c>
      <c r="E81" s="237"/>
      <c r="F81" s="237"/>
      <c r="G81" s="237"/>
      <c r="H81" s="238"/>
      <c r="I81" s="1"/>
      <c r="J81" s="242" t="str">
        <f t="shared" si="1"/>
        <v>Bl=16.65</v>
      </c>
      <c r="K81" s="1"/>
      <c r="L81" s="1"/>
      <c r="M81" s="1"/>
      <c r="N81" s="1"/>
      <c r="O81" s="1"/>
      <c r="P81" s="1"/>
      <c r="Q81" s="1"/>
      <c r="R81" s="1"/>
    </row>
    <row r="82" spans="2:18" x14ac:dyDescent="0.2">
      <c r="B82" s="234" t="s">
        <v>100</v>
      </c>
      <c r="C82" s="235" t="s">
        <v>0</v>
      </c>
      <c r="D82" s="257">
        <v>2.4699999999999999E-4</v>
      </c>
      <c r="E82" s="258"/>
      <c r="F82" s="258"/>
      <c r="G82" s="258"/>
      <c r="H82" s="259"/>
      <c r="I82" s="1"/>
      <c r="J82" s="242" t="str">
        <f t="shared" si="1"/>
        <v>Cms=0.000247</v>
      </c>
      <c r="K82" s="1"/>
      <c r="L82" s="1"/>
      <c r="M82" s="1"/>
      <c r="N82" s="1"/>
      <c r="O82" s="1"/>
      <c r="P82" s="1"/>
      <c r="Q82" s="1"/>
      <c r="R82" s="1"/>
    </row>
    <row r="83" spans="2:18" x14ac:dyDescent="0.2">
      <c r="B83" s="234" t="s">
        <v>101</v>
      </c>
      <c r="C83" s="235" t="s">
        <v>0</v>
      </c>
      <c r="D83" s="256">
        <v>2.2000000000000002</v>
      </c>
      <c r="E83" s="237"/>
      <c r="F83" s="237"/>
      <c r="G83" s="237"/>
      <c r="H83" s="238"/>
      <c r="I83" s="1"/>
      <c r="J83" s="242" t="str">
        <f t="shared" si="1"/>
        <v>Rms=2.2</v>
      </c>
      <c r="K83" s="1"/>
      <c r="L83" s="1"/>
      <c r="M83" s="1"/>
      <c r="N83" s="1"/>
      <c r="O83" s="1"/>
      <c r="P83" s="1"/>
      <c r="Q83" s="1"/>
      <c r="R83" s="1"/>
    </row>
    <row r="84" spans="2:18" x14ac:dyDescent="0.2">
      <c r="B84" s="234" t="s">
        <v>102</v>
      </c>
      <c r="C84" s="235" t="s">
        <v>0</v>
      </c>
      <c r="D84" s="256">
        <v>60.38</v>
      </c>
      <c r="E84" s="237"/>
      <c r="F84" s="237"/>
      <c r="G84" s="237"/>
      <c r="H84" s="238"/>
      <c r="I84" s="1"/>
      <c r="J84" s="242" t="str">
        <f t="shared" si="1"/>
        <v>Mmd=60.38</v>
      </c>
      <c r="K84" s="1"/>
      <c r="L84" s="1"/>
      <c r="M84" s="1"/>
      <c r="N84" s="1"/>
      <c r="O84" s="1"/>
      <c r="P84" s="1"/>
      <c r="Q84" s="1"/>
      <c r="R84" s="1"/>
    </row>
    <row r="85" spans="2:18" x14ac:dyDescent="0.2">
      <c r="B85" s="234" t="s">
        <v>103</v>
      </c>
      <c r="C85" s="235" t="s">
        <v>0</v>
      </c>
      <c r="D85" s="256">
        <v>1.4</v>
      </c>
      <c r="E85" s="237"/>
      <c r="F85" s="237"/>
      <c r="G85" s="237"/>
      <c r="H85" s="238"/>
      <c r="I85" s="1"/>
      <c r="J85" s="242" t="str">
        <f t="shared" si="1"/>
        <v>Le=1.4</v>
      </c>
      <c r="K85" s="1"/>
      <c r="L85" s="1"/>
      <c r="M85" s="1"/>
      <c r="N85" s="1"/>
      <c r="O85" s="1"/>
      <c r="P85" s="1"/>
      <c r="Q85" s="1"/>
      <c r="R85" s="1"/>
    </row>
    <row r="86" spans="2:18" x14ac:dyDescent="0.2">
      <c r="B86" s="234" t="s">
        <v>104</v>
      </c>
      <c r="C86" s="235" t="s">
        <v>0</v>
      </c>
      <c r="D86" s="256">
        <v>5.2</v>
      </c>
      <c r="E86" s="237"/>
      <c r="F86" s="237"/>
      <c r="G86" s="237"/>
      <c r="H86" s="238"/>
      <c r="I86" s="1"/>
      <c r="J86" s="242" t="str">
        <f t="shared" si="1"/>
        <v>Re=5.2</v>
      </c>
      <c r="K86" s="1"/>
      <c r="L86" s="1"/>
      <c r="M86" s="1"/>
      <c r="N86" s="1"/>
      <c r="O86" s="1"/>
      <c r="P86" s="1"/>
      <c r="Q86" s="1"/>
      <c r="R86" s="1"/>
    </row>
    <row r="87" spans="2:18" x14ac:dyDescent="0.2">
      <c r="B87" s="234" t="s">
        <v>105</v>
      </c>
      <c r="C87" s="235" t="s">
        <v>0</v>
      </c>
      <c r="D87" s="246">
        <v>1</v>
      </c>
      <c r="E87" s="247"/>
      <c r="F87" s="247"/>
      <c r="G87" s="247"/>
      <c r="H87" s="248"/>
      <c r="I87" s="1"/>
      <c r="J87" s="242" t="str">
        <f t="shared" si="1"/>
        <v>TH=1</v>
      </c>
      <c r="K87" s="1"/>
      <c r="L87" s="1"/>
      <c r="M87" s="1"/>
      <c r="N87" s="1"/>
      <c r="O87" s="1"/>
      <c r="P87" s="1"/>
      <c r="Q87" s="1"/>
      <c r="R87" s="1"/>
    </row>
    <row r="88" spans="2:18" x14ac:dyDescent="0.2">
      <c r="B88" s="234" t="s">
        <v>106</v>
      </c>
      <c r="C88" s="235" t="s">
        <v>0</v>
      </c>
      <c r="D88" s="246">
        <v>0</v>
      </c>
      <c r="E88" s="247"/>
      <c r="F88" s="247"/>
      <c r="G88" s="247"/>
      <c r="H88" s="248"/>
      <c r="I88" s="1"/>
      <c r="J88" s="242" t="str">
        <f t="shared" si="1"/>
        <v>Vrc=0</v>
      </c>
      <c r="K88" s="1"/>
      <c r="L88" s="1"/>
      <c r="M88" s="1"/>
      <c r="N88" s="1"/>
      <c r="O88" s="1"/>
      <c r="P88" s="1"/>
      <c r="Q88" s="1"/>
      <c r="R88" s="1"/>
    </row>
    <row r="89" spans="2:18" x14ac:dyDescent="0.2">
      <c r="B89" s="234" t="s">
        <v>107</v>
      </c>
      <c r="C89" s="235" t="s">
        <v>0</v>
      </c>
      <c r="D89" s="246">
        <v>0</v>
      </c>
      <c r="E89" s="247"/>
      <c r="F89" s="247"/>
      <c r="G89" s="247"/>
      <c r="H89" s="248"/>
      <c r="I89" s="1"/>
      <c r="J89" s="242" t="str">
        <f t="shared" si="1"/>
        <v>Lrc=0</v>
      </c>
      <c r="K89" s="1"/>
      <c r="L89" s="1"/>
      <c r="M89" s="1"/>
      <c r="N89" s="1"/>
      <c r="O89" s="1"/>
      <c r="P89" s="1"/>
      <c r="Q89" s="1"/>
      <c r="R89" s="1"/>
    </row>
    <row r="90" spans="2:18" x14ac:dyDescent="0.2">
      <c r="B90" s="234" t="s">
        <v>108</v>
      </c>
      <c r="C90" s="235" t="s">
        <v>0</v>
      </c>
      <c r="D90" s="253">
        <v>0</v>
      </c>
      <c r="E90" s="247"/>
      <c r="F90" s="247"/>
      <c r="G90" s="247"/>
      <c r="H90" s="248"/>
      <c r="I90" s="1"/>
      <c r="J90" s="242" t="str">
        <f t="shared" si="1"/>
        <v>Ap1=0</v>
      </c>
      <c r="K90" s="1"/>
      <c r="L90" s="1"/>
      <c r="M90" s="1"/>
      <c r="N90" s="1"/>
      <c r="O90" s="1"/>
      <c r="P90" s="1"/>
      <c r="Q90" s="1"/>
      <c r="R90" s="1"/>
    </row>
    <row r="91" spans="2:18" x14ac:dyDescent="0.2">
      <c r="B91" s="234" t="s">
        <v>109</v>
      </c>
      <c r="C91" s="235" t="s">
        <v>0</v>
      </c>
      <c r="D91" s="253">
        <v>0</v>
      </c>
      <c r="E91" s="247"/>
      <c r="F91" s="247"/>
      <c r="G91" s="247"/>
      <c r="H91" s="248"/>
      <c r="I91" s="1"/>
      <c r="J91" s="242" t="str">
        <f t="shared" si="1"/>
        <v>Lp=0</v>
      </c>
      <c r="K91" s="1"/>
      <c r="L91" s="1"/>
      <c r="M91" s="1"/>
      <c r="N91" s="1"/>
      <c r="O91" s="1"/>
      <c r="P91" s="1"/>
      <c r="Q91" s="1"/>
      <c r="R91" s="1"/>
    </row>
    <row r="92" spans="2:18" x14ac:dyDescent="0.2">
      <c r="B92" s="234" t="s">
        <v>110</v>
      </c>
      <c r="C92" s="235" t="s">
        <v>0</v>
      </c>
      <c r="D92" s="253">
        <f>D44</f>
        <v>2000</v>
      </c>
      <c r="E92" s="247"/>
      <c r="F92" s="247"/>
      <c r="G92" s="247"/>
      <c r="H92" s="248"/>
      <c r="I92" s="1"/>
      <c r="J92" s="242" t="str">
        <f t="shared" si="1"/>
        <v>Vtc=2000</v>
      </c>
      <c r="K92" s="1"/>
      <c r="L92" s="1"/>
      <c r="M92" s="1"/>
      <c r="N92" s="1"/>
      <c r="O92" s="1"/>
      <c r="P92" s="1"/>
      <c r="Q92" s="1"/>
      <c r="R92" s="1"/>
    </row>
    <row r="93" spans="2:18" x14ac:dyDescent="0.2">
      <c r="B93" s="234" t="s">
        <v>111</v>
      </c>
      <c r="C93" s="235" t="s">
        <v>0</v>
      </c>
      <c r="D93" s="246">
        <f>D80</f>
        <v>530.9</v>
      </c>
      <c r="E93" s="247"/>
      <c r="F93" s="247"/>
      <c r="G93" s="247"/>
      <c r="H93" s="248"/>
      <c r="I93" s="1"/>
      <c r="J93" s="242" t="str">
        <f t="shared" si="1"/>
        <v>Atc=530.9</v>
      </c>
      <c r="K93" s="1"/>
      <c r="L93" s="1"/>
      <c r="M93" s="1"/>
      <c r="N93" s="1"/>
      <c r="O93" s="1"/>
      <c r="P93" s="1"/>
      <c r="Q93" s="1"/>
      <c r="R93" s="1"/>
    </row>
    <row r="94" spans="2:18" x14ac:dyDescent="0.2">
      <c r="B94" s="234" t="s">
        <v>112</v>
      </c>
      <c r="C94" s="235" t="s">
        <v>0</v>
      </c>
      <c r="D94" s="256">
        <v>2000</v>
      </c>
      <c r="E94" s="237"/>
      <c r="F94" s="237"/>
      <c r="G94" s="237"/>
      <c r="H94" s="238"/>
      <c r="I94" s="1"/>
      <c r="J94" s="242" t="str">
        <f t="shared" si="1"/>
        <v>Pmax=2000</v>
      </c>
      <c r="K94" s="1"/>
      <c r="L94" s="1"/>
      <c r="M94" s="1"/>
      <c r="N94" s="1"/>
      <c r="O94" s="1"/>
      <c r="P94" s="1"/>
      <c r="Q94" s="1"/>
      <c r="R94" s="1"/>
    </row>
    <row r="95" spans="2:18" x14ac:dyDescent="0.2">
      <c r="B95" s="234" t="s">
        <v>113</v>
      </c>
      <c r="C95" s="235" t="s">
        <v>0</v>
      </c>
      <c r="D95" s="256">
        <v>6</v>
      </c>
      <c r="E95" s="237"/>
      <c r="F95" s="237"/>
      <c r="G95" s="237"/>
      <c r="H95" s="238"/>
      <c r="I95" s="1"/>
      <c r="J95" s="242" t="str">
        <f t="shared" si="1"/>
        <v>Xmax=6</v>
      </c>
      <c r="K95" s="1"/>
      <c r="L95" s="1"/>
      <c r="M95" s="1"/>
      <c r="N95" s="1"/>
      <c r="O95" s="1"/>
      <c r="P95" s="1"/>
      <c r="Q95" s="1"/>
      <c r="R95" s="1"/>
    </row>
    <row r="96" spans="2:18" x14ac:dyDescent="0.2">
      <c r="B96" s="234" t="s">
        <v>114</v>
      </c>
      <c r="C96" s="235" t="s">
        <v>0</v>
      </c>
      <c r="D96" s="256" t="s">
        <v>116</v>
      </c>
      <c r="E96" s="237"/>
      <c r="F96" s="237"/>
      <c r="G96" s="237"/>
      <c r="H96" s="238"/>
      <c r="I96" s="1"/>
      <c r="J96" s="242" t="str">
        <f t="shared" si="1"/>
        <v>Comment=BOXPLAN-Export STH</v>
      </c>
      <c r="K96" s="1"/>
      <c r="L96" s="1"/>
      <c r="M96" s="1"/>
      <c r="N96" s="1"/>
      <c r="O96" s="1"/>
      <c r="P96" s="1"/>
      <c r="Q96" s="1"/>
      <c r="R96" s="1"/>
    </row>
    <row r="110" spans="10:10" x14ac:dyDescent="0.2">
      <c r="J110" s="156"/>
    </row>
    <row r="113" spans="4:26" x14ac:dyDescent="0.2">
      <c r="J113" s="147"/>
    </row>
    <row r="115" spans="4:26" x14ac:dyDescent="0.2">
      <c r="D115" s="156"/>
      <c r="F115" s="147"/>
    </row>
    <row r="116" spans="4:26" x14ac:dyDescent="0.2">
      <c r="F116" s="147"/>
    </row>
    <row r="121" spans="4:26" x14ac:dyDescent="0.2">
      <c r="I121" s="200"/>
      <c r="J121" s="200"/>
    </row>
    <row r="122" spans="4:26" x14ac:dyDescent="0.2">
      <c r="I122" s="200"/>
      <c r="J122" s="200"/>
    </row>
    <row r="123" spans="4:26" x14ac:dyDescent="0.2">
      <c r="I123" s="200"/>
      <c r="J123" s="200"/>
    </row>
    <row r="124" spans="4:26" x14ac:dyDescent="0.2">
      <c r="I124" s="200"/>
      <c r="J124" s="200"/>
    </row>
    <row r="125" spans="4:26" x14ac:dyDescent="0.2">
      <c r="I125" s="200"/>
      <c r="J125" s="200"/>
      <c r="Z125" s="156"/>
    </row>
    <row r="126" spans="4:26" x14ac:dyDescent="0.2">
      <c r="I126" s="200"/>
      <c r="J126" s="200"/>
      <c r="Y126" s="156"/>
    </row>
    <row r="127" spans="4:26" x14ac:dyDescent="0.2">
      <c r="I127" s="200"/>
      <c r="J127" s="200"/>
    </row>
    <row r="128" spans="4:26" x14ac:dyDescent="0.2">
      <c r="I128" s="200"/>
      <c r="J128" s="200"/>
    </row>
    <row r="129" spans="9:10" x14ac:dyDescent="0.2">
      <c r="I129" s="200"/>
      <c r="J129" s="200"/>
    </row>
    <row r="130" spans="9:10" x14ac:dyDescent="0.2">
      <c r="I130" s="200"/>
      <c r="J130" s="200"/>
    </row>
    <row r="236" spans="30:40" x14ac:dyDescent="0.2">
      <c r="AD236" s="156"/>
      <c r="AE236" s="156"/>
      <c r="AF236" s="156"/>
      <c r="AG236" s="156"/>
      <c r="AH236" s="156"/>
      <c r="AJ236" s="156"/>
      <c r="AK236" s="156"/>
      <c r="AM236" s="156"/>
      <c r="AN236" s="156"/>
    </row>
    <row r="237" spans="30:40" x14ac:dyDescent="0.2">
      <c r="AD237" s="156"/>
      <c r="AE237" s="156"/>
      <c r="AF237" s="156"/>
      <c r="AG237" s="156"/>
      <c r="AH237" s="156"/>
      <c r="AJ237" s="156"/>
      <c r="AK237" s="156"/>
      <c r="AM237" s="156"/>
      <c r="AN237" s="156"/>
    </row>
    <row r="238" spans="30:40" x14ac:dyDescent="0.2">
      <c r="AD238" s="156"/>
      <c r="AE238" s="156"/>
      <c r="AF238" s="156"/>
      <c r="AG238" s="156"/>
      <c r="AH238" s="156"/>
      <c r="AJ238" s="156"/>
      <c r="AK238" s="156"/>
    </row>
    <row r="239" spans="30:40" x14ac:dyDescent="0.2">
      <c r="AD239" s="156"/>
      <c r="AE239" s="156"/>
      <c r="AM239" s="156"/>
      <c r="AN239" s="156"/>
    </row>
    <row r="240" spans="30:40" x14ac:dyDescent="0.2">
      <c r="AD240" s="156"/>
      <c r="AE240" s="156"/>
      <c r="AM240" s="156"/>
      <c r="AN240" s="156"/>
    </row>
    <row r="241" spans="30:40" x14ac:dyDescent="0.2">
      <c r="AD241" s="156"/>
      <c r="AE241" s="156"/>
    </row>
    <row r="242" spans="30:40" x14ac:dyDescent="0.2">
      <c r="AD242" s="156"/>
      <c r="AE242" s="156"/>
      <c r="AM242" s="156"/>
      <c r="AN242" s="156"/>
    </row>
    <row r="243" spans="30:40" x14ac:dyDescent="0.2">
      <c r="AD243" s="156"/>
      <c r="AE243" s="156"/>
      <c r="AM243" s="156"/>
      <c r="AN243" s="156"/>
    </row>
    <row r="245" spans="30:40" x14ac:dyDescent="0.2">
      <c r="AD245" s="156"/>
      <c r="AE245" s="156"/>
      <c r="AF245" s="197"/>
      <c r="AG245" s="197"/>
      <c r="AH245" s="197"/>
      <c r="AM245" s="156"/>
      <c r="AN245" s="156"/>
    </row>
    <row r="246" spans="30:40" x14ac:dyDescent="0.2">
      <c r="AD246" s="156"/>
      <c r="AE246" s="156"/>
      <c r="AF246" s="200"/>
      <c r="AG246" s="200"/>
      <c r="AH246" s="200"/>
      <c r="AM246" s="156"/>
      <c r="AN246" s="156"/>
    </row>
    <row r="247" spans="30:40" x14ac:dyDescent="0.2">
      <c r="AD247" s="156"/>
      <c r="AE247" s="156"/>
      <c r="AF247" s="200"/>
      <c r="AG247" s="200"/>
      <c r="AH247" s="200"/>
    </row>
    <row r="248" spans="30:40" x14ac:dyDescent="0.2">
      <c r="AD248" s="156"/>
      <c r="AE248" s="156"/>
      <c r="AF248" s="200"/>
      <c r="AG248" s="200"/>
      <c r="AH248" s="200"/>
      <c r="AM248" s="156"/>
      <c r="AN248" s="156"/>
    </row>
    <row r="249" spans="30:40" x14ac:dyDescent="0.2">
      <c r="AD249" s="156"/>
      <c r="AE249" s="156"/>
      <c r="AF249" s="200"/>
      <c r="AG249" s="200"/>
      <c r="AH249" s="200"/>
      <c r="AM249" s="156"/>
      <c r="AN249" s="156"/>
    </row>
    <row r="251" spans="30:40" x14ac:dyDescent="0.2">
      <c r="AD251" s="156"/>
      <c r="AE251" s="156"/>
      <c r="AF251" s="197"/>
      <c r="AG251" s="197"/>
      <c r="AH251" s="197"/>
      <c r="AM251" s="156"/>
      <c r="AN251" s="156"/>
    </row>
    <row r="252" spans="30:40" x14ac:dyDescent="0.2">
      <c r="AD252" s="156"/>
      <c r="AE252" s="156"/>
      <c r="AF252" s="200"/>
      <c r="AG252" s="200"/>
      <c r="AH252" s="200"/>
      <c r="AM252" s="156"/>
      <c r="AN252" s="156"/>
    </row>
    <row r="253" spans="30:40" x14ac:dyDescent="0.2">
      <c r="AD253" s="156"/>
      <c r="AE253" s="156"/>
      <c r="AF253" s="200"/>
      <c r="AG253" s="200"/>
      <c r="AH253" s="200"/>
    </row>
    <row r="254" spans="30:40" x14ac:dyDescent="0.2">
      <c r="AD254" s="156"/>
      <c r="AE254" s="156"/>
      <c r="AF254" s="200"/>
      <c r="AG254" s="200"/>
      <c r="AH254" s="200"/>
      <c r="AM254" s="156"/>
      <c r="AN254" s="156"/>
    </row>
    <row r="255" spans="30:40" x14ac:dyDescent="0.2">
      <c r="AD255" s="156"/>
      <c r="AE255" s="156"/>
      <c r="AF255" s="200"/>
      <c r="AG255" s="200"/>
      <c r="AH255" s="200"/>
      <c r="AM255" s="156"/>
      <c r="AN255" s="156"/>
    </row>
    <row r="257" spans="30:40" x14ac:dyDescent="0.2">
      <c r="AD257" s="156"/>
      <c r="AE257" s="156"/>
      <c r="AF257" s="197"/>
      <c r="AG257" s="197"/>
      <c r="AH257" s="197"/>
      <c r="AM257" s="156"/>
      <c r="AN257" s="156"/>
    </row>
    <row r="258" spans="30:40" x14ac:dyDescent="0.2">
      <c r="AD258" s="156"/>
      <c r="AE258" s="156"/>
      <c r="AF258" s="200"/>
      <c r="AG258" s="200"/>
      <c r="AH258" s="200"/>
      <c r="AM258" s="156"/>
      <c r="AN258" s="156"/>
    </row>
    <row r="259" spans="30:40" x14ac:dyDescent="0.2">
      <c r="AD259" s="156"/>
      <c r="AE259" s="156"/>
      <c r="AF259" s="200"/>
      <c r="AG259" s="200"/>
      <c r="AH259" s="200"/>
    </row>
    <row r="260" spans="30:40" x14ac:dyDescent="0.2">
      <c r="AD260" s="156"/>
      <c r="AE260" s="156"/>
      <c r="AF260" s="200"/>
      <c r="AG260" s="200"/>
      <c r="AH260" s="200"/>
      <c r="AM260" s="156"/>
      <c r="AN260" s="156"/>
    </row>
    <row r="261" spans="30:40" x14ac:dyDescent="0.2">
      <c r="AD261" s="156"/>
      <c r="AE261" s="156"/>
      <c r="AF261" s="200"/>
      <c r="AG261" s="200"/>
      <c r="AH261" s="200"/>
      <c r="AM261" s="156"/>
      <c r="AN261" s="156"/>
    </row>
    <row r="263" spans="30:40" x14ac:dyDescent="0.2">
      <c r="AD263" s="156"/>
      <c r="AE263" s="156"/>
      <c r="AF263" s="197"/>
      <c r="AG263" s="197"/>
      <c r="AH263" s="197"/>
      <c r="AM263" s="156"/>
      <c r="AN263" s="156"/>
    </row>
    <row r="264" spans="30:40" x14ac:dyDescent="0.2">
      <c r="AD264" s="156"/>
      <c r="AE264" s="156"/>
      <c r="AF264" s="200"/>
      <c r="AG264" s="200"/>
      <c r="AH264" s="200"/>
    </row>
    <row r="265" spans="30:40" x14ac:dyDescent="0.2">
      <c r="AD265" s="156"/>
      <c r="AE265" s="156"/>
      <c r="AF265" s="200"/>
      <c r="AG265" s="200"/>
      <c r="AH265" s="200"/>
      <c r="AM265" s="156"/>
      <c r="AN265" s="156"/>
    </row>
    <row r="266" spans="30:40" x14ac:dyDescent="0.2">
      <c r="AD266" s="156"/>
      <c r="AE266" s="156"/>
      <c r="AF266" s="200"/>
      <c r="AG266" s="200"/>
      <c r="AH266" s="200"/>
      <c r="AM266" s="156"/>
      <c r="AN266" s="156"/>
    </row>
    <row r="268" spans="30:40" x14ac:dyDescent="0.2">
      <c r="AD268" s="156"/>
      <c r="AE268" s="156"/>
      <c r="AF268" s="197"/>
      <c r="AG268" s="197"/>
      <c r="AH268" s="197"/>
      <c r="AM268" s="156"/>
      <c r="AN268" s="156"/>
    </row>
    <row r="269" spans="30:40" x14ac:dyDescent="0.2">
      <c r="AD269" s="156"/>
      <c r="AE269" s="156"/>
      <c r="AF269" s="200"/>
      <c r="AG269" s="200"/>
      <c r="AH269" s="200"/>
      <c r="AM269" s="156"/>
      <c r="AN269" s="156"/>
    </row>
    <row r="270" spans="30:40" x14ac:dyDescent="0.2">
      <c r="AD270" s="156"/>
      <c r="AE270" s="156"/>
      <c r="AF270" s="200"/>
      <c r="AG270" s="200"/>
      <c r="AH270" s="200"/>
    </row>
    <row r="271" spans="30:40" x14ac:dyDescent="0.2">
      <c r="AD271" s="156"/>
      <c r="AE271" s="156"/>
      <c r="AF271" s="200"/>
      <c r="AG271" s="200"/>
      <c r="AH271" s="200"/>
      <c r="AM271" s="156"/>
      <c r="AN271" s="156"/>
    </row>
    <row r="272" spans="30:40" x14ac:dyDescent="0.2">
      <c r="AD272" s="156"/>
      <c r="AE272" s="156"/>
      <c r="AF272" s="200"/>
      <c r="AG272" s="200"/>
      <c r="AH272" s="200"/>
      <c r="AM272" s="156"/>
      <c r="AN272" s="156"/>
    </row>
    <row r="274" spans="30:44" x14ac:dyDescent="0.2">
      <c r="AD274" s="156"/>
      <c r="AE274" s="156"/>
      <c r="AF274" s="197"/>
      <c r="AG274" s="197"/>
      <c r="AH274" s="197"/>
      <c r="AM274" s="156"/>
      <c r="AN274" s="156"/>
    </row>
    <row r="275" spans="30:44" x14ac:dyDescent="0.2">
      <c r="AD275" s="156"/>
      <c r="AE275" s="156"/>
      <c r="AF275" s="197"/>
      <c r="AG275" s="197"/>
      <c r="AH275" s="197"/>
      <c r="AM275" s="202"/>
      <c r="AN275" s="202"/>
      <c r="AO275" s="202"/>
      <c r="AP275" s="202"/>
      <c r="AQ275" s="202"/>
    </row>
    <row r="276" spans="30:44" x14ac:dyDescent="0.2">
      <c r="AD276" s="156"/>
      <c r="AE276" s="156"/>
      <c r="AF276" s="200"/>
      <c r="AG276" s="200"/>
      <c r="AH276" s="200"/>
      <c r="AM276" s="156"/>
      <c r="AN276" s="156"/>
      <c r="AO276" s="202"/>
      <c r="AP276" s="202"/>
      <c r="AQ276" s="202"/>
      <c r="AR276" s="200"/>
    </row>
    <row r="277" spans="30:44" x14ac:dyDescent="0.2">
      <c r="AD277" s="156"/>
      <c r="AE277" s="156"/>
      <c r="AF277" s="200"/>
      <c r="AG277" s="200"/>
      <c r="AH277" s="200"/>
      <c r="AM277" s="202"/>
      <c r="AN277" s="202"/>
      <c r="AO277" s="202"/>
      <c r="AP277" s="202"/>
      <c r="AQ277" s="202"/>
      <c r="AR277" s="200"/>
    </row>
    <row r="278" spans="30:44" x14ac:dyDescent="0.2">
      <c r="AD278" s="156"/>
      <c r="AE278" s="156"/>
      <c r="AF278" s="200"/>
      <c r="AG278" s="200"/>
      <c r="AH278" s="200"/>
      <c r="AM278" s="202"/>
      <c r="AN278" s="202"/>
      <c r="AO278" s="202"/>
      <c r="AP278" s="202"/>
      <c r="AQ278" s="202"/>
      <c r="AR278" s="200"/>
    </row>
    <row r="279" spans="30:44" x14ac:dyDescent="0.2">
      <c r="AD279" s="156"/>
      <c r="AE279" s="156"/>
      <c r="AF279" s="200"/>
      <c r="AG279" s="200"/>
      <c r="AH279" s="200"/>
      <c r="AM279" s="202"/>
      <c r="AN279" s="202"/>
      <c r="AO279" s="202"/>
      <c r="AP279" s="202"/>
      <c r="AQ279" s="202"/>
      <c r="AR279" s="200"/>
    </row>
    <row r="280" spans="30:44" x14ac:dyDescent="0.2">
      <c r="AM280" s="156"/>
      <c r="AN280" s="156"/>
      <c r="AO280" s="202"/>
      <c r="AP280" s="202"/>
      <c r="AQ280" s="202"/>
      <c r="AR280" s="200"/>
    </row>
    <row r="281" spans="30:44" x14ac:dyDescent="0.2">
      <c r="AD281" s="156"/>
      <c r="AE281" s="156"/>
      <c r="AF281" s="197"/>
      <c r="AG281" s="197"/>
      <c r="AH281" s="197"/>
      <c r="AM281" s="156"/>
      <c r="AN281" s="156"/>
      <c r="AO281" s="202"/>
      <c r="AP281" s="202"/>
      <c r="AQ281" s="202"/>
      <c r="AR281" s="200"/>
    </row>
    <row r="282" spans="30:44" x14ac:dyDescent="0.2">
      <c r="AD282" s="156"/>
      <c r="AE282" s="156"/>
      <c r="AF282" s="200"/>
      <c r="AG282" s="200"/>
      <c r="AH282" s="200"/>
      <c r="AM282" s="156"/>
      <c r="AN282" s="156"/>
      <c r="AO282" s="202"/>
      <c r="AP282" s="202"/>
      <c r="AQ282" s="202"/>
      <c r="AR282" s="200"/>
    </row>
    <row r="283" spans="30:44" x14ac:dyDescent="0.2">
      <c r="AD283" s="156"/>
      <c r="AE283" s="156"/>
      <c r="AF283" s="200"/>
      <c r="AG283" s="200"/>
      <c r="AH283" s="200"/>
      <c r="AM283" s="156"/>
      <c r="AN283" s="156"/>
      <c r="AO283" s="202"/>
      <c r="AP283" s="202"/>
      <c r="AQ283" s="202"/>
      <c r="AR283" s="200"/>
    </row>
    <row r="284" spans="30:44" x14ac:dyDescent="0.2">
      <c r="AD284" s="156"/>
      <c r="AE284" s="156"/>
      <c r="AF284" s="200"/>
      <c r="AG284" s="200"/>
      <c r="AH284" s="200"/>
      <c r="AM284" s="156"/>
      <c r="AN284" s="156"/>
      <c r="AO284" s="202"/>
      <c r="AP284" s="202"/>
      <c r="AQ284" s="202"/>
      <c r="AR284" s="200"/>
    </row>
    <row r="285" spans="30:44" x14ac:dyDescent="0.2">
      <c r="AD285" s="156"/>
      <c r="AE285" s="156"/>
      <c r="AF285" s="200"/>
      <c r="AG285" s="200"/>
      <c r="AH285" s="200"/>
      <c r="AM285" s="156"/>
      <c r="AN285" s="156"/>
      <c r="AO285" s="202"/>
      <c r="AP285" s="202"/>
      <c r="AQ285" s="202"/>
      <c r="AR285" s="200"/>
    </row>
    <row r="286" spans="30:44" x14ac:dyDescent="0.2">
      <c r="AM286" s="156"/>
      <c r="AN286" s="156"/>
      <c r="AO286" s="202"/>
      <c r="AP286" s="202"/>
      <c r="AQ286" s="202"/>
      <c r="AR286" s="200"/>
    </row>
    <row r="287" spans="30:44" x14ac:dyDescent="0.2">
      <c r="AD287" s="156"/>
      <c r="AE287" s="156"/>
      <c r="AF287" s="197"/>
      <c r="AG287" s="197"/>
      <c r="AH287" s="197"/>
      <c r="AM287" s="156"/>
      <c r="AN287" s="156"/>
      <c r="AO287" s="202"/>
      <c r="AP287" s="202"/>
      <c r="AQ287" s="202"/>
      <c r="AR287" s="200"/>
    </row>
    <row r="288" spans="30:44" x14ac:dyDescent="0.2">
      <c r="AD288" s="156"/>
      <c r="AE288" s="156"/>
      <c r="AF288" s="200"/>
      <c r="AG288" s="200"/>
      <c r="AH288" s="200"/>
      <c r="AM288" s="156"/>
      <c r="AN288" s="156"/>
      <c r="AO288" s="202"/>
      <c r="AP288" s="202"/>
      <c r="AQ288" s="202"/>
      <c r="AR288" s="200"/>
    </row>
    <row r="289" spans="30:44" x14ac:dyDescent="0.2">
      <c r="AD289" s="156"/>
      <c r="AE289" s="156"/>
      <c r="AF289" s="200"/>
      <c r="AG289" s="200"/>
      <c r="AH289" s="200"/>
      <c r="AM289" s="156"/>
      <c r="AN289" s="156"/>
      <c r="AO289" s="202"/>
      <c r="AP289" s="202"/>
      <c r="AQ289" s="202"/>
      <c r="AR289" s="200"/>
    </row>
    <row r="290" spans="30:44" x14ac:dyDescent="0.2">
      <c r="AD290" s="156"/>
      <c r="AE290" s="156"/>
      <c r="AF290" s="200"/>
      <c r="AG290" s="200"/>
      <c r="AH290" s="200"/>
      <c r="AM290" s="156"/>
      <c r="AN290" s="156"/>
      <c r="AO290" s="202"/>
      <c r="AP290" s="202"/>
      <c r="AQ290" s="202"/>
      <c r="AR290" s="200"/>
    </row>
    <row r="291" spans="30:44" x14ac:dyDescent="0.2">
      <c r="AD291" s="156"/>
      <c r="AE291" s="156"/>
      <c r="AF291" s="200"/>
      <c r="AG291" s="200"/>
      <c r="AH291" s="200"/>
      <c r="AM291" s="156"/>
      <c r="AN291" s="156"/>
      <c r="AO291" s="202"/>
      <c r="AP291" s="202"/>
      <c r="AQ291" s="202"/>
      <c r="AR291" s="200"/>
    </row>
    <row r="292" spans="30:44" x14ac:dyDescent="0.2">
      <c r="AM292" s="156"/>
      <c r="AN292" s="156"/>
      <c r="AO292" s="202"/>
      <c r="AP292" s="202"/>
      <c r="AQ292" s="202"/>
      <c r="AR292" s="200"/>
    </row>
    <row r="293" spans="30:44" x14ac:dyDescent="0.2">
      <c r="AD293" s="156"/>
      <c r="AE293" s="156"/>
      <c r="AF293" s="197"/>
      <c r="AG293" s="197"/>
      <c r="AH293" s="197"/>
      <c r="AM293" s="156"/>
      <c r="AN293" s="156"/>
      <c r="AO293" s="202"/>
      <c r="AP293" s="202"/>
      <c r="AQ293" s="202"/>
      <c r="AR293" s="200"/>
    </row>
    <row r="294" spans="30:44" x14ac:dyDescent="0.2">
      <c r="AD294" s="156"/>
      <c r="AE294" s="156"/>
      <c r="AF294" s="200"/>
      <c r="AG294" s="200"/>
      <c r="AH294" s="200"/>
      <c r="AM294" s="156"/>
      <c r="AN294" s="156"/>
      <c r="AO294" s="202"/>
      <c r="AP294" s="202"/>
      <c r="AQ294" s="202"/>
      <c r="AR294" s="200"/>
    </row>
    <row r="295" spans="30:44" x14ac:dyDescent="0.2">
      <c r="AD295" s="156"/>
      <c r="AE295" s="156"/>
      <c r="AF295" s="200"/>
      <c r="AG295" s="200"/>
      <c r="AH295" s="200"/>
      <c r="AM295" s="156"/>
      <c r="AN295" s="156"/>
      <c r="AO295" s="202"/>
      <c r="AP295" s="202"/>
      <c r="AQ295" s="202"/>
      <c r="AR295" s="200"/>
    </row>
    <row r="296" spans="30:44" x14ac:dyDescent="0.2">
      <c r="AD296" s="156"/>
      <c r="AE296" s="156"/>
      <c r="AF296" s="200"/>
      <c r="AG296" s="200"/>
      <c r="AH296" s="200"/>
      <c r="AM296" s="156"/>
      <c r="AN296" s="156"/>
      <c r="AO296" s="202"/>
      <c r="AP296" s="202"/>
      <c r="AQ296" s="202"/>
      <c r="AR296" s="200"/>
    </row>
    <row r="297" spans="30:44" x14ac:dyDescent="0.2">
      <c r="AD297" s="156"/>
      <c r="AE297" s="156"/>
      <c r="AF297" s="200"/>
      <c r="AG297" s="200"/>
      <c r="AH297" s="200"/>
      <c r="AM297" s="156"/>
      <c r="AN297" s="156"/>
      <c r="AO297" s="202"/>
      <c r="AP297" s="202"/>
      <c r="AQ297" s="202"/>
      <c r="AR297" s="200"/>
    </row>
    <row r="298" spans="30:44" x14ac:dyDescent="0.2">
      <c r="AM298" s="156"/>
      <c r="AN298" s="156"/>
      <c r="AO298" s="202"/>
      <c r="AP298" s="202"/>
      <c r="AQ298" s="202"/>
      <c r="AR298" s="200"/>
    </row>
    <row r="299" spans="30:44" x14ac:dyDescent="0.2">
      <c r="AD299" s="156"/>
      <c r="AE299" s="156"/>
      <c r="AF299" s="197"/>
      <c r="AG299" s="197"/>
      <c r="AH299" s="197"/>
      <c r="AM299" s="156"/>
      <c r="AN299" s="156"/>
      <c r="AO299" s="202"/>
      <c r="AP299" s="202"/>
      <c r="AQ299" s="202"/>
      <c r="AR299" s="200"/>
    </row>
    <row r="300" spans="30:44" x14ac:dyDescent="0.2">
      <c r="AD300" s="156"/>
      <c r="AE300" s="156"/>
      <c r="AF300" s="200"/>
      <c r="AG300" s="200"/>
      <c r="AH300" s="200"/>
      <c r="AM300" s="156"/>
      <c r="AN300" s="156"/>
      <c r="AO300" s="202"/>
      <c r="AP300" s="202"/>
      <c r="AQ300" s="202"/>
      <c r="AR300" s="200"/>
    </row>
    <row r="301" spans="30:44" x14ac:dyDescent="0.2">
      <c r="AD301" s="156"/>
      <c r="AE301" s="156"/>
      <c r="AF301" s="200"/>
      <c r="AG301" s="200"/>
      <c r="AH301" s="200"/>
      <c r="AM301" s="156"/>
      <c r="AN301" s="156"/>
      <c r="AO301" s="202"/>
      <c r="AP301" s="202"/>
      <c r="AQ301" s="202"/>
      <c r="AR301" s="200"/>
    </row>
    <row r="302" spans="30:44" x14ac:dyDescent="0.2">
      <c r="AD302" s="156"/>
      <c r="AE302" s="156"/>
      <c r="AF302" s="200"/>
      <c r="AG302" s="200"/>
      <c r="AH302" s="200"/>
    </row>
    <row r="303" spans="30:44" x14ac:dyDescent="0.2">
      <c r="AD303" s="156"/>
      <c r="AE303" s="156"/>
      <c r="AF303" s="200"/>
      <c r="AG303" s="200"/>
      <c r="AH303" s="200"/>
      <c r="AQ303" s="131"/>
    </row>
    <row r="305" spans="30:34" x14ac:dyDescent="0.2">
      <c r="AD305" s="156"/>
      <c r="AE305" s="156"/>
      <c r="AF305" s="197"/>
      <c r="AG305" s="197"/>
      <c r="AH305" s="197"/>
    </row>
    <row r="306" spans="30:34" x14ac:dyDescent="0.2">
      <c r="AD306" s="156"/>
      <c r="AE306" s="156"/>
      <c r="AF306" s="200"/>
      <c r="AG306" s="200"/>
      <c r="AH306" s="200"/>
    </row>
    <row r="307" spans="30:34" x14ac:dyDescent="0.2">
      <c r="AD307" s="156"/>
      <c r="AE307" s="156"/>
      <c r="AF307" s="200"/>
      <c r="AG307" s="200"/>
      <c r="AH307" s="200"/>
    </row>
    <row r="308" spans="30:34" x14ac:dyDescent="0.2">
      <c r="AD308" s="156"/>
      <c r="AE308" s="156"/>
      <c r="AF308" s="200"/>
      <c r="AG308" s="200"/>
      <c r="AH308" s="200"/>
    </row>
    <row r="309" spans="30:34" x14ac:dyDescent="0.2">
      <c r="AD309" s="156"/>
      <c r="AE309" s="156"/>
      <c r="AF309" s="200"/>
      <c r="AG309" s="200"/>
      <c r="AH309" s="200"/>
    </row>
    <row r="311" spans="30:34" x14ac:dyDescent="0.2">
      <c r="AD311" s="156"/>
      <c r="AE311" s="156"/>
      <c r="AF311" s="197"/>
      <c r="AG311" s="197"/>
      <c r="AH311" s="197"/>
    </row>
    <row r="312" spans="30:34" x14ac:dyDescent="0.2">
      <c r="AD312" s="156"/>
      <c r="AE312" s="156"/>
      <c r="AF312" s="200"/>
      <c r="AG312" s="200"/>
      <c r="AH312" s="200"/>
    </row>
    <row r="313" spans="30:34" x14ac:dyDescent="0.2">
      <c r="AD313" s="156"/>
      <c r="AE313" s="156"/>
      <c r="AF313" s="200"/>
      <c r="AG313" s="200"/>
      <c r="AH313" s="200"/>
    </row>
    <row r="314" spans="30:34" x14ac:dyDescent="0.2">
      <c r="AD314" s="156"/>
      <c r="AE314" s="156"/>
      <c r="AF314" s="200"/>
      <c r="AG314" s="200"/>
      <c r="AH314" s="200"/>
    </row>
    <row r="315" spans="30:34" x14ac:dyDescent="0.2">
      <c r="AD315" s="156"/>
      <c r="AE315" s="156"/>
      <c r="AF315" s="200"/>
      <c r="AG315" s="200"/>
      <c r="AH315" s="200"/>
    </row>
    <row r="317" spans="30:34" x14ac:dyDescent="0.2">
      <c r="AD317" s="156"/>
      <c r="AE317" s="156"/>
      <c r="AF317" s="197"/>
      <c r="AG317" s="197"/>
      <c r="AH317" s="197"/>
    </row>
    <row r="318" spans="30:34" x14ac:dyDescent="0.2">
      <c r="AD318" s="156"/>
      <c r="AE318" s="156"/>
      <c r="AF318" s="200"/>
      <c r="AG318" s="200"/>
      <c r="AH318" s="200"/>
    </row>
    <row r="319" spans="30:34" x14ac:dyDescent="0.2">
      <c r="AD319" s="156"/>
      <c r="AE319" s="156"/>
      <c r="AF319" s="200"/>
      <c r="AG319" s="200"/>
      <c r="AH319" s="200"/>
    </row>
    <row r="320" spans="30:34" x14ac:dyDescent="0.2">
      <c r="AD320" s="156"/>
      <c r="AE320" s="156"/>
      <c r="AF320" s="200"/>
      <c r="AG320" s="200"/>
      <c r="AH320" s="200"/>
    </row>
    <row r="321" spans="30:34" x14ac:dyDescent="0.2">
      <c r="AD321" s="156"/>
      <c r="AE321" s="156"/>
      <c r="AF321" s="200"/>
      <c r="AG321" s="200"/>
      <c r="AH321" s="200"/>
    </row>
    <row r="323" spans="30:34" x14ac:dyDescent="0.2">
      <c r="AD323" s="156"/>
      <c r="AE323" s="156"/>
      <c r="AF323" s="197"/>
      <c r="AG323" s="197"/>
      <c r="AH323" s="197"/>
    </row>
    <row r="324" spans="30:34" x14ac:dyDescent="0.2">
      <c r="AD324" s="156"/>
      <c r="AE324" s="156"/>
      <c r="AF324" s="200"/>
      <c r="AG324" s="200"/>
      <c r="AH324" s="200"/>
    </row>
    <row r="325" spans="30:34" x14ac:dyDescent="0.2">
      <c r="AD325" s="156"/>
      <c r="AE325" s="156"/>
      <c r="AF325" s="200"/>
      <c r="AG325" s="200"/>
      <c r="AH325" s="200"/>
    </row>
    <row r="326" spans="30:34" x14ac:dyDescent="0.2">
      <c r="AD326" s="156"/>
      <c r="AE326" s="156"/>
      <c r="AF326" s="200"/>
      <c r="AG326" s="200"/>
      <c r="AH326" s="200"/>
    </row>
    <row r="327" spans="30:34" x14ac:dyDescent="0.2">
      <c r="AD327" s="156"/>
      <c r="AE327" s="156"/>
      <c r="AF327" s="200"/>
      <c r="AG327" s="200"/>
      <c r="AH327" s="200"/>
    </row>
    <row r="329" spans="30:34" x14ac:dyDescent="0.2">
      <c r="AD329" s="156"/>
      <c r="AE329" s="156"/>
      <c r="AF329" s="197"/>
      <c r="AG329" s="197"/>
      <c r="AH329" s="197"/>
    </row>
    <row r="330" spans="30:34" x14ac:dyDescent="0.2">
      <c r="AD330" s="156"/>
      <c r="AE330" s="156"/>
      <c r="AF330" s="200"/>
      <c r="AG330" s="200"/>
      <c r="AH330" s="200"/>
    </row>
    <row r="331" spans="30:34" x14ac:dyDescent="0.2">
      <c r="AD331" s="156"/>
      <c r="AE331" s="156"/>
      <c r="AF331" s="200"/>
      <c r="AG331" s="200"/>
      <c r="AH331" s="200"/>
    </row>
    <row r="332" spans="30:34" x14ac:dyDescent="0.2">
      <c r="AD332" s="156"/>
      <c r="AE332" s="156"/>
      <c r="AF332" s="200"/>
      <c r="AG332" s="200"/>
      <c r="AH332" s="200"/>
    </row>
    <row r="333" spans="30:34" x14ac:dyDescent="0.2">
      <c r="AD333" s="156"/>
      <c r="AE333" s="156"/>
      <c r="AF333" s="200"/>
      <c r="AG333" s="200"/>
      <c r="AH333" s="200"/>
    </row>
    <row r="335" spans="30:34" x14ac:dyDescent="0.2">
      <c r="AD335" s="156"/>
      <c r="AE335" s="156"/>
      <c r="AF335" s="197"/>
      <c r="AG335" s="197"/>
      <c r="AH335" s="197"/>
    </row>
    <row r="336" spans="30:34" x14ac:dyDescent="0.2">
      <c r="AD336" s="156"/>
      <c r="AE336" s="156"/>
      <c r="AF336" s="200"/>
      <c r="AG336" s="200"/>
      <c r="AH336" s="200"/>
    </row>
    <row r="337" spans="30:34" x14ac:dyDescent="0.2">
      <c r="AD337" s="156"/>
      <c r="AE337" s="156"/>
      <c r="AF337" s="200"/>
      <c r="AG337" s="200"/>
      <c r="AH337" s="200"/>
    </row>
    <row r="338" spans="30:34" x14ac:dyDescent="0.2">
      <c r="AD338" s="156"/>
      <c r="AE338" s="156"/>
      <c r="AF338" s="200"/>
      <c r="AG338" s="200"/>
      <c r="AH338" s="200"/>
    </row>
    <row r="339" spans="30:34" x14ac:dyDescent="0.2">
      <c r="AD339" s="156"/>
      <c r="AE339" s="156"/>
      <c r="AF339" s="200"/>
      <c r="AG339" s="200"/>
      <c r="AH339" s="200"/>
    </row>
    <row r="340" spans="30:34" x14ac:dyDescent="0.2">
      <c r="AD340" s="156"/>
      <c r="AE340" s="156"/>
      <c r="AF340" s="200"/>
      <c r="AG340" s="200"/>
      <c r="AH340" s="200"/>
    </row>
  </sheetData>
  <sheetProtection sheet="1" objects="1" scenarios="1"/>
  <protectedRanges>
    <protectedRange sqref="K33:K38" name="Range5"/>
    <protectedRange sqref="H12:H15 H5:H9" name="Range4"/>
    <protectedRange sqref="D4:D8" name="Range1"/>
    <protectedRange sqref="D15 D11:D13 F31 D21:D24" name="Range2"/>
  </protectedRanges>
  <mergeCells count="45">
    <mergeCell ref="D93:H93"/>
    <mergeCell ref="D94:H94"/>
    <mergeCell ref="D95:H95"/>
    <mergeCell ref="D96:H96"/>
    <mergeCell ref="D88:H88"/>
    <mergeCell ref="D89:H89"/>
    <mergeCell ref="D90:H90"/>
    <mergeCell ref="D91:H91"/>
    <mergeCell ref="D92:H92"/>
    <mergeCell ref="D83:H83"/>
    <mergeCell ref="D84:H84"/>
    <mergeCell ref="D85:H85"/>
    <mergeCell ref="D86:H86"/>
    <mergeCell ref="D87:H87"/>
    <mergeCell ref="D78:H78"/>
    <mergeCell ref="D79:H79"/>
    <mergeCell ref="D80:H80"/>
    <mergeCell ref="D81:H81"/>
    <mergeCell ref="D82:H82"/>
    <mergeCell ref="D73:H73"/>
    <mergeCell ref="D74:H74"/>
    <mergeCell ref="D75:H75"/>
    <mergeCell ref="D76:H76"/>
    <mergeCell ref="D77:H77"/>
    <mergeCell ref="D68:H68"/>
    <mergeCell ref="D69:H69"/>
    <mergeCell ref="D70:H70"/>
    <mergeCell ref="D71:H71"/>
    <mergeCell ref="D72:H72"/>
    <mergeCell ref="D63:H63"/>
    <mergeCell ref="D64:H64"/>
    <mergeCell ref="D65:H65"/>
    <mergeCell ref="D66:H66"/>
    <mergeCell ref="D67:H67"/>
    <mergeCell ref="D57:R57"/>
    <mergeCell ref="D59:H59"/>
    <mergeCell ref="D60:H60"/>
    <mergeCell ref="D61:H61"/>
    <mergeCell ref="D62:H62"/>
    <mergeCell ref="I5:K5"/>
    <mergeCell ref="I15:K15"/>
    <mergeCell ref="I6:K6"/>
    <mergeCell ref="I7:K7"/>
    <mergeCell ref="I8:K8"/>
    <mergeCell ref="I9:K9"/>
  </mergeCells>
  <phoneticPr fontId="1" type="noConversion"/>
  <pageMargins left="0.75" right="0.75" top="1" bottom="1" header="0.5" footer="0.5"/>
  <pageSetup scale="72" orientation="landscape" horizontalDpi="4294967292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3" r:id="rId4" name="Button 9">
              <controlPr defaultSize="0" print="0" autoFill="0" autoPict="0" macro="[0]!Optimize">
                <anchor moveWithCells="1">
                  <from>
                    <xdr:col>6</xdr:col>
                    <xdr:colOff>342900</xdr:colOff>
                    <xdr:row>16</xdr:row>
                    <xdr:rowOff>95250</xdr:rowOff>
                  </from>
                  <to>
                    <xdr:col>10</xdr:col>
                    <xdr:colOff>352425</xdr:colOff>
                    <xdr:row>21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5" name="Button 10">
              <controlPr defaultSize="0" print="0" autoFill="0" autoPict="0" macro="[0]!Export">
                <anchor moveWithCells="1">
                  <from>
                    <xdr:col>6</xdr:col>
                    <xdr:colOff>352425</xdr:colOff>
                    <xdr:row>22</xdr:row>
                    <xdr:rowOff>123825</xdr:rowOff>
                  </from>
                  <to>
                    <xdr:col>10</xdr:col>
                    <xdr:colOff>342900</xdr:colOff>
                    <xdr:row>25</xdr:row>
                    <xdr:rowOff>95250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2:R36"/>
  <sheetViews>
    <sheetView workbookViewId="0">
      <selection activeCell="C12" sqref="C12:G14"/>
    </sheetView>
  </sheetViews>
  <sheetFormatPr defaultRowHeight="12.75" x14ac:dyDescent="0.2"/>
  <cols>
    <col min="10" max="10" width="16.42578125" customWidth="1"/>
  </cols>
  <sheetData>
    <row r="2" spans="1:18" x14ac:dyDescent="0.2">
      <c r="A2" s="9" t="s">
        <v>50</v>
      </c>
      <c r="B2" s="1"/>
      <c r="C2" s="29" t="s">
        <v>5</v>
      </c>
      <c r="D2" s="29" t="s">
        <v>6</v>
      </c>
      <c r="E2" s="1"/>
      <c r="F2" s="29" t="s">
        <v>5</v>
      </c>
      <c r="G2" s="29" t="s">
        <v>6</v>
      </c>
      <c r="J2" s="9" t="s">
        <v>61</v>
      </c>
      <c r="K2" s="10"/>
      <c r="L2" s="10"/>
      <c r="M2" s="10"/>
      <c r="N2" s="10"/>
      <c r="O2" s="10"/>
      <c r="P2" s="10"/>
      <c r="Q2" s="10"/>
      <c r="R2" s="10"/>
    </row>
    <row r="3" spans="1:18" x14ac:dyDescent="0.2">
      <c r="A3" s="1"/>
      <c r="B3" s="1"/>
      <c r="C3" s="33">
        <f>Q6</f>
        <v>28.84792214035463</v>
      </c>
      <c r="D3" s="34">
        <f>R6</f>
        <v>0</v>
      </c>
      <c r="E3" s="35"/>
      <c r="F3" s="34">
        <f>IF(TH!$H$15="x",C3,0)</f>
        <v>0</v>
      </c>
      <c r="G3" s="49">
        <f>IF(TH!$H$15="x",D3,0)</f>
        <v>0</v>
      </c>
      <c r="J3" s="10"/>
      <c r="K3" s="10"/>
      <c r="L3" s="10"/>
      <c r="M3" s="10"/>
      <c r="N3" s="10"/>
      <c r="O3" s="10"/>
      <c r="P3" s="10"/>
      <c r="Q3" s="10"/>
      <c r="R3" s="10"/>
    </row>
    <row r="4" spans="1:18" x14ac:dyDescent="0.2">
      <c r="A4" s="1"/>
      <c r="B4" s="47">
        <v>1</v>
      </c>
      <c r="C4" s="36">
        <f>Q9</f>
        <v>19.018425261025662</v>
      </c>
      <c r="D4" s="37">
        <f>R9</f>
        <v>121.92000000000002</v>
      </c>
      <c r="E4" s="38"/>
      <c r="F4" s="37">
        <f>IF(TH!$H$15="x",C4,0)</f>
        <v>0</v>
      </c>
      <c r="G4" s="50">
        <f>IF(TH!$H$15="x",D4,0)</f>
        <v>0</v>
      </c>
      <c r="J4" s="10"/>
      <c r="K4" s="29" t="s">
        <v>62</v>
      </c>
      <c r="L4" s="29" t="s">
        <v>63</v>
      </c>
      <c r="M4" s="29" t="s">
        <v>64</v>
      </c>
      <c r="N4" s="29" t="s">
        <v>65</v>
      </c>
      <c r="O4" s="29" t="s">
        <v>66</v>
      </c>
      <c r="P4" s="29" t="s">
        <v>67</v>
      </c>
      <c r="Q4" s="29" t="s">
        <v>5</v>
      </c>
      <c r="R4" s="29" t="s">
        <v>6</v>
      </c>
    </row>
    <row r="5" spans="1:18" x14ac:dyDescent="0.2">
      <c r="A5" s="1"/>
      <c r="B5" s="9"/>
      <c r="C5" s="46"/>
      <c r="D5" s="44"/>
      <c r="E5" s="44"/>
      <c r="F5" s="45"/>
      <c r="G5" s="50"/>
      <c r="J5" s="9" t="str">
        <f>Panels!A24</f>
        <v>Panel D (top, bottom)</v>
      </c>
      <c r="K5" s="52">
        <f>Panels!C26</f>
        <v>40.64</v>
      </c>
      <c r="L5" s="52">
        <f>Panels!D26</f>
        <v>0</v>
      </c>
      <c r="M5" s="52">
        <f>Panels!C27</f>
        <v>0</v>
      </c>
      <c r="N5" s="52">
        <f>Panels!D27</f>
        <v>0</v>
      </c>
      <c r="O5" s="67">
        <f>(N5-L5)/(M5-K5)</f>
        <v>0</v>
      </c>
      <c r="P5" s="67">
        <f>(N5*K5-L5*M5)/(K5-M5)</f>
        <v>0</v>
      </c>
      <c r="Q5" s="10"/>
      <c r="R5" s="52"/>
    </row>
    <row r="6" spans="1:18" x14ac:dyDescent="0.2">
      <c r="A6" s="1"/>
      <c r="B6" s="1"/>
      <c r="C6" s="33"/>
      <c r="D6" s="34"/>
      <c r="E6" s="35"/>
      <c r="F6" s="34"/>
      <c r="G6" s="49"/>
      <c r="J6" s="9" t="str">
        <f>Panels!A36</f>
        <v>Panel E (1st inside)</v>
      </c>
      <c r="K6" s="52">
        <f>Panels!C36</f>
        <v>28.693933139046244</v>
      </c>
      <c r="L6" s="52">
        <f>Panels!D36</f>
        <v>1.91</v>
      </c>
      <c r="M6" s="52">
        <f>Panels!C37</f>
        <v>20.577573869593607</v>
      </c>
      <c r="N6" s="52">
        <f>Panels!D37</f>
        <v>102.58112633329603</v>
      </c>
      <c r="O6" s="67">
        <f>(N6-L6)/(M6-K6)</f>
        <v>-12.403483260307333</v>
      </c>
      <c r="P6" s="67">
        <f>(N6*K6-L6*M6)/(K6-M6)</f>
        <v>357.81471936253791</v>
      </c>
      <c r="Q6" s="52">
        <f>(P5-P6)/(O6-O5)</f>
        <v>28.84792214035463</v>
      </c>
      <c r="R6" s="52">
        <f>Q6*O6+P6</f>
        <v>0</v>
      </c>
    </row>
    <row r="7" spans="1:18" x14ac:dyDescent="0.2">
      <c r="A7" s="1"/>
      <c r="B7" s="9">
        <v>2</v>
      </c>
      <c r="C7" s="36"/>
      <c r="D7" s="37"/>
      <c r="E7" s="38"/>
      <c r="F7" s="37"/>
      <c r="G7" s="50"/>
    </row>
    <row r="8" spans="1:18" x14ac:dyDescent="0.2">
      <c r="A8" s="1"/>
      <c r="B8" s="1"/>
      <c r="C8" s="39"/>
      <c r="D8" s="40"/>
      <c r="E8" s="40"/>
      <c r="F8" s="45"/>
      <c r="G8" s="50"/>
      <c r="J8" s="9" t="str">
        <f>J5</f>
        <v>Panel D (top, bottom)</v>
      </c>
      <c r="K8" s="52">
        <f>Panels!C30</f>
        <v>0</v>
      </c>
      <c r="L8" s="52">
        <f>Panels!D30</f>
        <v>121.92</v>
      </c>
      <c r="M8" s="52">
        <f>Panels!C31</f>
        <v>40.64</v>
      </c>
      <c r="N8" s="52">
        <f>Panels!D30</f>
        <v>121.92</v>
      </c>
      <c r="O8" s="67">
        <f>(N8-L8)/(M8-K8)</f>
        <v>0</v>
      </c>
      <c r="P8" s="67">
        <f>(N8*K8-L8*M8)/(K8-M8)</f>
        <v>121.92</v>
      </c>
      <c r="Q8" s="10"/>
      <c r="R8" s="52"/>
    </row>
    <row r="9" spans="1:18" x14ac:dyDescent="0.2">
      <c r="A9" s="1"/>
      <c r="B9" s="9"/>
      <c r="C9" s="33">
        <f>Panels!C19</f>
        <v>0</v>
      </c>
      <c r="D9" s="34">
        <f>Panels!D32</f>
        <v>120.01</v>
      </c>
      <c r="E9" s="35"/>
      <c r="F9" s="34">
        <f>IF(TH!$H$15="x",C9,0)</f>
        <v>0</v>
      </c>
      <c r="G9" s="49">
        <f>IF(TH!$H$15="x",D9,0)</f>
        <v>0</v>
      </c>
      <c r="J9" s="9" t="str">
        <f>J6</f>
        <v>Panel E (1st inside)</v>
      </c>
      <c r="K9" s="52">
        <f>K6</f>
        <v>28.693933139046244</v>
      </c>
      <c r="L9" s="52">
        <f>L6</f>
        <v>1.91</v>
      </c>
      <c r="M9" s="52">
        <f>M6</f>
        <v>20.577573869593607</v>
      </c>
      <c r="N9" s="52">
        <f>N6</f>
        <v>102.58112633329603</v>
      </c>
      <c r="O9" s="67">
        <f>(N9-L9)/(M9-K9)</f>
        <v>-12.403483260307333</v>
      </c>
      <c r="P9" s="67">
        <f>(N9*K9-L9*M9)/(K9-M9)</f>
        <v>357.81471936253791</v>
      </c>
      <c r="Q9" s="52">
        <f>(P8-P9)/(O9-O8)</f>
        <v>19.018425261025662</v>
      </c>
      <c r="R9" s="52">
        <f>Q9*O9+P9</f>
        <v>121.92000000000002</v>
      </c>
    </row>
    <row r="10" spans="1:18" x14ac:dyDescent="0.2">
      <c r="A10" s="1"/>
      <c r="B10" s="9">
        <v>3</v>
      </c>
      <c r="C10" s="36">
        <f>Panels!C21</f>
        <v>40.64</v>
      </c>
      <c r="D10" s="37">
        <f>D9</f>
        <v>120.01</v>
      </c>
      <c r="E10" s="38"/>
      <c r="F10" s="37">
        <f>IF(TH!$H$15="x",C10,0)</f>
        <v>0</v>
      </c>
      <c r="G10" s="50">
        <f>IF(TH!$H$15="x",D10,0)</f>
        <v>0</v>
      </c>
    </row>
    <row r="11" spans="1:18" x14ac:dyDescent="0.2">
      <c r="A11" s="1"/>
      <c r="B11" s="9"/>
      <c r="C11" s="42"/>
      <c r="D11" s="43"/>
      <c r="E11" s="43"/>
      <c r="F11" s="41"/>
      <c r="G11" s="51"/>
      <c r="J11" s="9" t="str">
        <f>Panels!A18</f>
        <v>Panel C (sides)</v>
      </c>
      <c r="K11" s="52">
        <f>Panels!C19</f>
        <v>0</v>
      </c>
      <c r="L11" s="52">
        <f>Panels!D19</f>
        <v>121.92</v>
      </c>
      <c r="M11" s="52">
        <f>Panels!C33</f>
        <v>0</v>
      </c>
      <c r="N11" s="52">
        <f>Panels!D20</f>
        <v>0</v>
      </c>
      <c r="O11" s="67"/>
      <c r="P11" s="67"/>
      <c r="Q11" s="10"/>
      <c r="R11" s="52"/>
    </row>
    <row r="12" spans="1:18" x14ac:dyDescent="0.2">
      <c r="B12" s="9"/>
      <c r="C12" s="33"/>
      <c r="D12" s="34"/>
      <c r="E12" s="35"/>
      <c r="F12" s="34"/>
      <c r="G12" s="49"/>
      <c r="J12" s="9">
        <f>Panels!A42</f>
        <v>0</v>
      </c>
      <c r="K12" s="52">
        <f>Panels!C45</f>
        <v>0</v>
      </c>
      <c r="L12" s="52">
        <f>Panels!D45</f>
        <v>0</v>
      </c>
      <c r="M12" s="52">
        <f>Panels!C46</f>
        <v>0</v>
      </c>
      <c r="N12" s="52">
        <f>Panels!D46</f>
        <v>0</v>
      </c>
      <c r="O12" s="67" t="e">
        <f>(N12-L12)/(M12-K12)</f>
        <v>#DIV/0!</v>
      </c>
      <c r="P12" s="67" t="e">
        <f>(N12*K12-L12*M12)/(K12-M12)</f>
        <v>#DIV/0!</v>
      </c>
      <c r="Q12" s="52">
        <f>K11</f>
        <v>0</v>
      </c>
      <c r="R12" s="52" t="e">
        <f>Q12*O12+P12</f>
        <v>#DIV/0!</v>
      </c>
    </row>
    <row r="13" spans="1:18" x14ac:dyDescent="0.2">
      <c r="B13" s="9">
        <v>4</v>
      </c>
      <c r="C13" s="36"/>
      <c r="D13" s="37"/>
      <c r="E13" s="38"/>
      <c r="F13" s="37"/>
      <c r="G13" s="50"/>
    </row>
    <row r="14" spans="1:18" x14ac:dyDescent="0.2">
      <c r="B14" s="9"/>
      <c r="C14" s="42"/>
      <c r="D14" s="43"/>
      <c r="E14" s="43"/>
      <c r="F14" s="41"/>
      <c r="G14" s="51"/>
      <c r="J14" s="9" t="str">
        <f>J11</f>
        <v>Panel C (sides)</v>
      </c>
      <c r="K14" s="52">
        <f>Panels!C21</f>
        <v>40.64</v>
      </c>
      <c r="L14" s="52">
        <f>Panels!D21</f>
        <v>0</v>
      </c>
      <c r="M14" s="52">
        <f>Panels!C22</f>
        <v>40.64</v>
      </c>
      <c r="N14" s="52">
        <f>Panels!D22</f>
        <v>121.92</v>
      </c>
      <c r="O14" s="67"/>
      <c r="P14" s="67"/>
      <c r="Q14" s="10"/>
      <c r="R14" s="52"/>
    </row>
    <row r="15" spans="1:18" x14ac:dyDescent="0.2">
      <c r="B15" s="9"/>
      <c r="C15" s="33">
        <f>Panels!C54</f>
        <v>0</v>
      </c>
      <c r="D15" s="34">
        <f>Panels!D23</f>
        <v>0</v>
      </c>
      <c r="E15" s="35"/>
      <c r="F15" s="34">
        <f>IF(TH!$H$15="x",C15,0)</f>
        <v>0</v>
      </c>
      <c r="G15" s="49">
        <f>IF(TH!$H$15="x",D15,0)</f>
        <v>0</v>
      </c>
      <c r="J15" s="9">
        <f>J12</f>
        <v>0</v>
      </c>
      <c r="K15" s="52">
        <f>K12</f>
        <v>0</v>
      </c>
      <c r="L15" s="52">
        <f>L12</f>
        <v>0</v>
      </c>
      <c r="M15" s="52">
        <f>M12</f>
        <v>0</v>
      </c>
      <c r="N15" s="52">
        <f>N12</f>
        <v>0</v>
      </c>
      <c r="O15" s="67" t="e">
        <f>(N15-L15)/(M15-K15)</f>
        <v>#DIV/0!</v>
      </c>
      <c r="P15" s="67" t="e">
        <f>(N15*K15-L15*M15)/(K15-M15)</f>
        <v>#DIV/0!</v>
      </c>
      <c r="Q15" s="52">
        <f>K14</f>
        <v>40.64</v>
      </c>
      <c r="R15" s="52" t="e">
        <f>Q15*O15+P15</f>
        <v>#DIV/0!</v>
      </c>
    </row>
    <row r="16" spans="1:18" x14ac:dyDescent="0.2">
      <c r="B16" s="9">
        <v>5</v>
      </c>
      <c r="C16" s="36">
        <f>C15</f>
        <v>0</v>
      </c>
      <c r="D16" s="37">
        <f>Panels!D19</f>
        <v>121.92</v>
      </c>
      <c r="E16" s="38"/>
      <c r="F16" s="37">
        <f>IF(TH!$H$15="x",C16,0)</f>
        <v>0</v>
      </c>
      <c r="G16" s="50">
        <f>IF(TH!$H$15="x",D16,0)</f>
        <v>0</v>
      </c>
    </row>
    <row r="17" spans="2:7" x14ac:dyDescent="0.2">
      <c r="B17" s="9"/>
      <c r="C17" s="42"/>
      <c r="D17" s="43"/>
      <c r="E17" s="43"/>
      <c r="F17" s="41"/>
      <c r="G17" s="51"/>
    </row>
    <row r="21" spans="2:7" x14ac:dyDescent="0.2">
      <c r="B21" s="1"/>
      <c r="C21" s="29" t="s">
        <v>5</v>
      </c>
      <c r="D21" s="29" t="s">
        <v>6</v>
      </c>
    </row>
    <row r="22" spans="2:7" x14ac:dyDescent="0.2">
      <c r="B22" s="1"/>
      <c r="C22" s="33">
        <f>Path!N28</f>
        <v>0</v>
      </c>
      <c r="D22" s="49">
        <v>0</v>
      </c>
    </row>
    <row r="23" spans="2:7" x14ac:dyDescent="0.2">
      <c r="B23" s="47" t="s">
        <v>13</v>
      </c>
      <c r="C23" s="36">
        <f>C22</f>
        <v>0</v>
      </c>
      <c r="D23" s="50">
        <v>0</v>
      </c>
    </row>
    <row r="24" spans="2:7" x14ac:dyDescent="0.2">
      <c r="B24" s="9"/>
      <c r="C24" s="46"/>
      <c r="D24" s="64"/>
    </row>
    <row r="25" spans="2:7" x14ac:dyDescent="0.2">
      <c r="B25" s="1"/>
      <c r="C25" s="33">
        <v>0</v>
      </c>
      <c r="D25" s="49">
        <v>0</v>
      </c>
    </row>
    <row r="26" spans="2:7" x14ac:dyDescent="0.2">
      <c r="B26" s="9" t="s">
        <v>37</v>
      </c>
      <c r="C26" s="36">
        <f>C25</f>
        <v>0</v>
      </c>
      <c r="D26" s="50">
        <v>0</v>
      </c>
    </row>
    <row r="27" spans="2:7" x14ac:dyDescent="0.2">
      <c r="B27" s="1"/>
      <c r="C27" s="46"/>
      <c r="D27" s="64"/>
    </row>
    <row r="28" spans="2:7" x14ac:dyDescent="0.2">
      <c r="B28" s="9"/>
      <c r="C28" s="33">
        <v>0</v>
      </c>
      <c r="D28" s="49">
        <v>0</v>
      </c>
    </row>
    <row r="29" spans="2:7" x14ac:dyDescent="0.2">
      <c r="B29" s="9" t="s">
        <v>44</v>
      </c>
      <c r="C29" s="36">
        <f>C28</f>
        <v>0</v>
      </c>
      <c r="D29" s="50">
        <v>0</v>
      </c>
    </row>
    <row r="30" spans="2:7" x14ac:dyDescent="0.2">
      <c r="B30" s="9"/>
      <c r="C30" s="46"/>
      <c r="D30" s="64"/>
    </row>
    <row r="31" spans="2:7" x14ac:dyDescent="0.2">
      <c r="B31" s="9"/>
      <c r="C31" s="33">
        <v>0</v>
      </c>
      <c r="D31" s="49">
        <v>0</v>
      </c>
    </row>
    <row r="32" spans="2:7" x14ac:dyDescent="0.2">
      <c r="B32" s="9" t="s">
        <v>14</v>
      </c>
      <c r="C32" s="36">
        <v>0</v>
      </c>
      <c r="D32" s="50">
        <v>0</v>
      </c>
    </row>
    <row r="33" spans="2:4" x14ac:dyDescent="0.2">
      <c r="B33" s="9"/>
      <c r="C33" s="46"/>
      <c r="D33" s="64"/>
    </row>
    <row r="34" spans="2:4" x14ac:dyDescent="0.2">
      <c r="B34" s="9"/>
      <c r="C34" s="33">
        <v>0</v>
      </c>
      <c r="D34" s="49">
        <v>0</v>
      </c>
    </row>
    <row r="35" spans="2:4" x14ac:dyDescent="0.2">
      <c r="B35" s="9" t="s">
        <v>45</v>
      </c>
      <c r="C35" s="36">
        <v>0</v>
      </c>
      <c r="D35" s="50">
        <v>0</v>
      </c>
    </row>
    <row r="36" spans="2:4" x14ac:dyDescent="0.2">
      <c r="B36" s="9"/>
      <c r="C36" s="39"/>
      <c r="D36" s="65"/>
    </row>
  </sheetData>
  <sheetProtection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Y112"/>
  <sheetViews>
    <sheetView workbookViewId="0">
      <selection activeCell="D8" sqref="D8"/>
    </sheetView>
  </sheetViews>
  <sheetFormatPr defaultRowHeight="12.75" x14ac:dyDescent="0.2"/>
  <cols>
    <col min="17" max="17" width="10.140625" customWidth="1"/>
    <col min="21" max="21" width="10" bestFit="1" customWidth="1"/>
  </cols>
  <sheetData>
    <row r="1" spans="1:25" ht="13.5" thickBo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5" ht="13.5" thickBot="1" x14ac:dyDescent="0.25">
      <c r="A2" s="1"/>
      <c r="B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32"/>
      <c r="R2" s="48"/>
      <c r="T2" s="1"/>
      <c r="U2" s="1"/>
      <c r="V2" s="1"/>
    </row>
    <row r="3" spans="1:25" x14ac:dyDescent="0.2">
      <c r="A3" s="1"/>
      <c r="B3" s="1"/>
      <c r="E3" s="1"/>
      <c r="F3" s="6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5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5" x14ac:dyDescent="0.2">
      <c r="A5" s="1"/>
      <c r="B5" s="1"/>
      <c r="C5" s="29" t="s">
        <v>5</v>
      </c>
      <c r="D5" s="29" t="s">
        <v>6</v>
      </c>
      <c r="E5" s="29"/>
      <c r="F5" s="29" t="s">
        <v>5</v>
      </c>
      <c r="G5" s="29" t="s">
        <v>6</v>
      </c>
      <c r="H5" s="29"/>
      <c r="I5" s="29" t="s">
        <v>38</v>
      </c>
      <c r="J5" s="29" t="s">
        <v>39</v>
      </c>
      <c r="K5" s="29"/>
      <c r="L5" s="29" t="s">
        <v>3</v>
      </c>
      <c r="M5" s="29" t="s">
        <v>4</v>
      </c>
      <c r="N5" s="8"/>
      <c r="O5" s="8"/>
      <c r="P5" s="1"/>
      <c r="Q5" s="62" t="s">
        <v>60</v>
      </c>
      <c r="T5" s="1"/>
      <c r="U5" s="1"/>
      <c r="V5" s="1"/>
    </row>
    <row r="6" spans="1:25" x14ac:dyDescent="0.2">
      <c r="A6" s="27" t="str">
        <f>TH!I5</f>
        <v>Panel A (front)</v>
      </c>
      <c r="B6" s="11"/>
      <c r="C6" s="14">
        <f>C19</f>
        <v>0</v>
      </c>
      <c r="D6" s="14">
        <f>D32</f>
        <v>120.01</v>
      </c>
      <c r="E6" s="13"/>
      <c r="F6" s="14">
        <f>IF(TH!$H$5="x",C6,TH!$D$52)</f>
        <v>0</v>
      </c>
      <c r="G6" s="14">
        <f>IF(TH!$H$5="x",D6,TH!$D$53)</f>
        <v>120.01</v>
      </c>
      <c r="H6" s="13"/>
      <c r="I6" s="14"/>
      <c r="J6" s="14"/>
      <c r="K6" s="13"/>
      <c r="L6" s="12"/>
      <c r="M6" s="15"/>
      <c r="N6" s="1"/>
      <c r="O6" s="1"/>
      <c r="P6" s="1"/>
      <c r="Q6" s="53" t="s">
        <v>32</v>
      </c>
      <c r="R6" s="54"/>
      <c r="S6" s="55">
        <f>COS(TH!$F$31*PI()/180)</f>
        <v>0.99676576350165491</v>
      </c>
      <c r="T6" s="1"/>
      <c r="U6" s="1"/>
      <c r="V6" s="1"/>
      <c r="W6" s="1"/>
      <c r="X6" s="1"/>
      <c r="Y6" s="1"/>
    </row>
    <row r="7" spans="1:25" x14ac:dyDescent="0.2">
      <c r="A7" s="16"/>
      <c r="B7" s="17"/>
      <c r="C7" s="20">
        <f>C6</f>
        <v>0</v>
      </c>
      <c r="D7" s="20">
        <f>D6-TH!F33</f>
        <v>28.489029495448079</v>
      </c>
      <c r="E7" s="19"/>
      <c r="F7" s="20">
        <f>IF(TH!$H$5="x",C7,TH!$D$52)</f>
        <v>0</v>
      </c>
      <c r="G7" s="20">
        <f>IF(TH!$H$5="x",D7,TH!$D$53)</f>
        <v>28.489029495448079</v>
      </c>
      <c r="H7" s="19"/>
      <c r="I7" s="18">
        <f t="shared" ref="I7:J10" si="0">C6-C7</f>
        <v>0</v>
      </c>
      <c r="J7" s="18">
        <f t="shared" si="0"/>
        <v>91.520970504551926</v>
      </c>
      <c r="K7" s="18">
        <f>(I7^2+J7^2)^0.5</f>
        <v>91.520970504551926</v>
      </c>
      <c r="L7" s="18"/>
      <c r="M7" s="21"/>
      <c r="N7" s="1"/>
      <c r="O7" s="1"/>
      <c r="P7" s="1"/>
      <c r="Q7" s="56" t="s">
        <v>33</v>
      </c>
      <c r="R7" s="57"/>
      <c r="S7" s="58">
        <f>SIN(TH!$F$31*PI()/180)</f>
        <v>8.0361761497387427E-2</v>
      </c>
      <c r="T7" s="1"/>
      <c r="U7" s="1"/>
      <c r="V7" s="1"/>
      <c r="W7" s="1"/>
      <c r="X7" s="1"/>
      <c r="Y7" s="1"/>
    </row>
    <row r="8" spans="1:25" x14ac:dyDescent="0.2">
      <c r="A8" s="16"/>
      <c r="B8" s="17"/>
      <c r="C8" s="20">
        <f>C7+TH!D33</f>
        <v>1.91</v>
      </c>
      <c r="D8" s="20">
        <f>D7</f>
        <v>28.489029495448079</v>
      </c>
      <c r="E8" s="19"/>
      <c r="F8" s="20">
        <f>IF(TH!$H$5="x",C8,TH!$D$52)</f>
        <v>1.91</v>
      </c>
      <c r="G8" s="20">
        <f>IF(TH!$H$5="x",D8,TH!$D$53)</f>
        <v>28.489029495448079</v>
      </c>
      <c r="H8" s="19"/>
      <c r="I8" s="18">
        <f t="shared" si="0"/>
        <v>-1.91</v>
      </c>
      <c r="J8" s="18">
        <f t="shared" si="0"/>
        <v>0</v>
      </c>
      <c r="K8" s="18">
        <f>(I8^2+J8^2)^0.5</f>
        <v>1.91</v>
      </c>
      <c r="L8" s="18"/>
      <c r="M8" s="21"/>
      <c r="N8" s="1"/>
      <c r="O8" s="1"/>
      <c r="P8" s="1"/>
      <c r="Q8" s="56" t="s">
        <v>36</v>
      </c>
      <c r="R8" s="57"/>
      <c r="S8" s="58">
        <f>TAN(TH!$F$31*PI()/180)</f>
        <v>8.0622513774023699E-2</v>
      </c>
      <c r="T8" s="1"/>
      <c r="U8" s="1"/>
      <c r="V8" s="1"/>
      <c r="W8" s="1"/>
      <c r="X8" s="1"/>
      <c r="Y8" s="1"/>
    </row>
    <row r="9" spans="1:25" x14ac:dyDescent="0.2">
      <c r="A9" s="16"/>
      <c r="B9" s="17"/>
      <c r="C9" s="20">
        <f>C8</f>
        <v>1.91</v>
      </c>
      <c r="D9" s="20">
        <f>D6</f>
        <v>120.01</v>
      </c>
      <c r="E9" s="17"/>
      <c r="F9" s="20">
        <f>IF(TH!$H$5="x",C9,TH!$D$52)</f>
        <v>1.91</v>
      </c>
      <c r="G9" s="20">
        <f>IF(TH!$H$5="x",D9,TH!$D$53)</f>
        <v>120.01</v>
      </c>
      <c r="H9" s="19"/>
      <c r="I9" s="18">
        <f t="shared" si="0"/>
        <v>0</v>
      </c>
      <c r="J9" s="18">
        <f t="shared" si="0"/>
        <v>-91.520970504551926</v>
      </c>
      <c r="K9" s="18">
        <f>(I9^2+J9^2)^0.5</f>
        <v>91.520970504551926</v>
      </c>
      <c r="L9" s="18"/>
      <c r="M9" s="21"/>
      <c r="N9" s="1"/>
      <c r="O9" s="1"/>
      <c r="P9" s="1"/>
      <c r="Q9" s="56"/>
      <c r="R9" s="57"/>
      <c r="S9" s="59"/>
      <c r="T9" s="1"/>
      <c r="U9" s="1"/>
      <c r="V9" s="1"/>
      <c r="W9" s="1"/>
      <c r="X9" s="1"/>
      <c r="Y9" s="1"/>
    </row>
    <row r="10" spans="1:25" x14ac:dyDescent="0.2">
      <c r="A10" s="22"/>
      <c r="B10" s="23"/>
      <c r="C10" s="26">
        <f>C6</f>
        <v>0</v>
      </c>
      <c r="D10" s="26">
        <f>D6</f>
        <v>120.01</v>
      </c>
      <c r="E10" s="23"/>
      <c r="F10" s="26">
        <f>IF(TH!$H$5="x",C10,TH!$D$52)</f>
        <v>0</v>
      </c>
      <c r="G10" s="26">
        <f>IF(TH!$H$5="x",D10,TH!$D$53)</f>
        <v>120.01</v>
      </c>
      <c r="H10" s="23"/>
      <c r="I10" s="24">
        <f t="shared" si="0"/>
        <v>1.91</v>
      </c>
      <c r="J10" s="24">
        <f t="shared" si="0"/>
        <v>0</v>
      </c>
      <c r="K10" s="24">
        <f>(I10^2+J10^2)^0.5</f>
        <v>1.91</v>
      </c>
      <c r="L10" s="23"/>
      <c r="M10" s="28"/>
      <c r="N10" s="1"/>
      <c r="O10" s="1"/>
      <c r="P10" s="1"/>
      <c r="Q10" s="56" t="s">
        <v>32</v>
      </c>
      <c r="R10" s="57"/>
      <c r="S10" s="58">
        <f>COS(TH!$F$31*PI()/(180*2))</f>
        <v>0.99919111372691238</v>
      </c>
      <c r="T10" s="1"/>
      <c r="U10" s="1"/>
      <c r="V10" s="30"/>
      <c r="W10" s="1"/>
      <c r="X10" s="1"/>
      <c r="Y10" s="1"/>
    </row>
    <row r="11" spans="1:25" x14ac:dyDescent="0.2">
      <c r="A11" s="1"/>
      <c r="B11" s="1"/>
      <c r="C11" s="4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56" t="s">
        <v>33</v>
      </c>
      <c r="R11" s="57"/>
      <c r="S11" s="58">
        <f>SIN(TH!$F$31*PI()/(180*2))</f>
        <v>4.0213408823084773E-2</v>
      </c>
      <c r="T11" s="1"/>
      <c r="U11" s="1"/>
      <c r="V11" s="30"/>
      <c r="W11" s="1"/>
      <c r="X11" s="1"/>
      <c r="Y11" s="1"/>
    </row>
    <row r="12" spans="1:25" x14ac:dyDescent="0.2">
      <c r="A12" s="27" t="str">
        <f>TH!I6</f>
        <v>Panel B (back)</v>
      </c>
      <c r="B12" s="11"/>
      <c r="C12" s="14">
        <f>C18-TH!D33</f>
        <v>38.730000000000004</v>
      </c>
      <c r="D12" s="14">
        <f>D32</f>
        <v>120.01</v>
      </c>
      <c r="E12" s="13"/>
      <c r="F12" s="14">
        <f>IF(TH!$H$6="x",C12,TH!$D$52)</f>
        <v>38.730000000000004</v>
      </c>
      <c r="G12" s="14">
        <f>IF(TH!$H$6="x",D12,TH!$D$53)</f>
        <v>120.01</v>
      </c>
      <c r="H12" s="13"/>
      <c r="I12" s="14"/>
      <c r="J12" s="14"/>
      <c r="K12" s="13"/>
      <c r="L12" s="12"/>
      <c r="M12" s="15"/>
      <c r="N12" s="1"/>
      <c r="O12" s="1"/>
      <c r="P12" s="1"/>
      <c r="Q12" s="60" t="s">
        <v>36</v>
      </c>
      <c r="R12" s="61"/>
      <c r="S12" s="63">
        <f>TAN(TH!$F$31*PI()/(180*2))</f>
        <v>4.0245963230288943E-2</v>
      </c>
      <c r="T12" s="1"/>
      <c r="U12" s="1"/>
      <c r="V12" s="30"/>
      <c r="W12" s="1"/>
      <c r="X12" s="1"/>
      <c r="Y12" s="1"/>
    </row>
    <row r="13" spans="1:25" x14ac:dyDescent="0.2">
      <c r="A13" s="16"/>
      <c r="B13" s="17"/>
      <c r="C13" s="20">
        <f>C12</f>
        <v>38.730000000000004</v>
      </c>
      <c r="D13" s="20">
        <f>D25</f>
        <v>1.91</v>
      </c>
      <c r="E13" s="19"/>
      <c r="F13" s="20">
        <f>IF(TH!$H$6="x",C13,TH!$D$52)</f>
        <v>38.730000000000004</v>
      </c>
      <c r="G13" s="20">
        <f>IF(TH!$H$6="x",D13,TH!$D$53)</f>
        <v>1.91</v>
      </c>
      <c r="H13" s="19"/>
      <c r="I13" s="18">
        <f t="shared" ref="I13:J16" si="1">C12-C13</f>
        <v>0</v>
      </c>
      <c r="J13" s="18">
        <f t="shared" si="1"/>
        <v>118.10000000000001</v>
      </c>
      <c r="K13" s="18">
        <f>(I13^2+J13^2)^0.5</f>
        <v>118.10000000000001</v>
      </c>
      <c r="L13" s="18"/>
      <c r="M13" s="21"/>
      <c r="N13" s="1"/>
      <c r="O13" s="1"/>
      <c r="P13" s="1"/>
      <c r="T13" s="1"/>
      <c r="U13" s="1"/>
      <c r="V13" s="1"/>
      <c r="W13" s="1"/>
      <c r="X13" s="1"/>
      <c r="Y13" s="1"/>
    </row>
    <row r="14" spans="1:25" x14ac:dyDescent="0.2">
      <c r="A14" s="16"/>
      <c r="B14" s="17"/>
      <c r="C14" s="20">
        <f>C13+TH!D33</f>
        <v>40.64</v>
      </c>
      <c r="D14" s="20">
        <f>D13</f>
        <v>1.91</v>
      </c>
      <c r="E14" s="19"/>
      <c r="F14" s="20">
        <f>IF(TH!$H$6="x",C14,TH!$D$52)</f>
        <v>40.64</v>
      </c>
      <c r="G14" s="20">
        <f>IF(TH!$H$6="x",D14,TH!$D$53)</f>
        <v>1.91</v>
      </c>
      <c r="H14" s="19"/>
      <c r="I14" s="18">
        <f t="shared" si="1"/>
        <v>-1.9099999999999966</v>
      </c>
      <c r="J14" s="18">
        <f t="shared" si="1"/>
        <v>0</v>
      </c>
      <c r="K14" s="18">
        <f>(I14^2+J14^2)^0.5</f>
        <v>1.9099999999999966</v>
      </c>
      <c r="L14" s="18"/>
      <c r="M14" s="21"/>
      <c r="N14" s="1"/>
      <c r="O14" s="1"/>
      <c r="P14" s="1"/>
      <c r="Q14" s="1"/>
      <c r="R14" s="1"/>
      <c r="S14" s="4" t="s">
        <v>5</v>
      </c>
      <c r="T14" s="4" t="s">
        <v>6</v>
      </c>
      <c r="U14" s="4" t="s">
        <v>7</v>
      </c>
      <c r="V14" s="4" t="s">
        <v>8</v>
      </c>
      <c r="W14" s="4" t="s">
        <v>19</v>
      </c>
      <c r="X14" s="4" t="s">
        <v>28</v>
      </c>
      <c r="Y14" s="1"/>
    </row>
    <row r="15" spans="1:25" x14ac:dyDescent="0.2">
      <c r="A15" s="16"/>
      <c r="B15" s="17"/>
      <c r="C15" s="20">
        <f>C14</f>
        <v>40.64</v>
      </c>
      <c r="D15" s="20">
        <f>D12</f>
        <v>120.01</v>
      </c>
      <c r="E15" s="17"/>
      <c r="F15" s="20">
        <f>IF(TH!$H$6="x",C15,TH!$D$52)</f>
        <v>40.64</v>
      </c>
      <c r="G15" s="20">
        <f>IF(TH!$H$6="x",D15,TH!$D$53)</f>
        <v>120.01</v>
      </c>
      <c r="H15" s="19"/>
      <c r="I15" s="18">
        <f t="shared" si="1"/>
        <v>0</v>
      </c>
      <c r="J15" s="18">
        <f t="shared" si="1"/>
        <v>-118.10000000000001</v>
      </c>
      <c r="K15" s="18">
        <f>(I15^2+J15^2)^0.5</f>
        <v>118.10000000000001</v>
      </c>
      <c r="L15" s="18"/>
      <c r="M15" s="21"/>
      <c r="N15" s="1"/>
      <c r="O15" s="1"/>
      <c r="P15" s="1"/>
      <c r="Q15" s="1"/>
      <c r="R15" s="1"/>
      <c r="S15" s="7">
        <f>Panels!C37</f>
        <v>20.577573869593607</v>
      </c>
      <c r="T15" s="7">
        <f>Panels!D37</f>
        <v>102.58112633329603</v>
      </c>
      <c r="U15" s="4"/>
      <c r="V15" s="4"/>
      <c r="W15" s="4"/>
      <c r="X15" s="4"/>
      <c r="Y15" s="1"/>
    </row>
    <row r="16" spans="1:25" x14ac:dyDescent="0.2">
      <c r="A16" s="22"/>
      <c r="B16" s="23"/>
      <c r="C16" s="26">
        <f>C12</f>
        <v>38.730000000000004</v>
      </c>
      <c r="D16" s="26">
        <f>D12</f>
        <v>120.01</v>
      </c>
      <c r="E16" s="23"/>
      <c r="F16" s="26">
        <f>IF(TH!$H$6="x",C16,TH!$D$52)</f>
        <v>38.730000000000004</v>
      </c>
      <c r="G16" s="26">
        <f>IF(TH!$H$6="x",D16,TH!$D$53)</f>
        <v>120.01</v>
      </c>
      <c r="H16" s="23"/>
      <c r="I16" s="24">
        <f t="shared" si="1"/>
        <v>1.9099999999999966</v>
      </c>
      <c r="J16" s="24">
        <f t="shared" si="1"/>
        <v>0</v>
      </c>
      <c r="K16" s="24">
        <f>(I16^2+J16^2)^0.5</f>
        <v>1.9099999999999966</v>
      </c>
      <c r="L16" s="23"/>
      <c r="M16" s="28"/>
      <c r="N16" s="1"/>
      <c r="O16" s="1"/>
      <c r="P16" s="1"/>
      <c r="Q16" s="1"/>
      <c r="R16" s="1"/>
      <c r="S16" s="7">
        <f>Panels!C36</f>
        <v>28.693933139046244</v>
      </c>
      <c r="T16" s="7">
        <f>Panels!D36</f>
        <v>1.91</v>
      </c>
      <c r="U16" s="7">
        <f>S15-S16</f>
        <v>-8.1163592694526372</v>
      </c>
      <c r="V16" s="7">
        <f>T15-T16</f>
        <v>100.67112633329603</v>
      </c>
      <c r="W16" s="7">
        <f>(U16^2+V16^2)^0.5</f>
        <v>100.99777703001824</v>
      </c>
      <c r="X16" s="6">
        <f>V16/U16</f>
        <v>-12.403483260307333</v>
      </c>
    </row>
    <row r="17" spans="1:24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7"/>
      <c r="T17" s="7"/>
      <c r="U17" s="4"/>
      <c r="V17" s="4"/>
      <c r="W17" s="4"/>
      <c r="X17" s="4"/>
    </row>
    <row r="18" spans="1:24" x14ac:dyDescent="0.2">
      <c r="A18" s="27" t="str">
        <f>TH!I7</f>
        <v>Panel C (sides)</v>
      </c>
      <c r="B18" s="11"/>
      <c r="C18" s="14">
        <f>TH!D13+TH!D52</f>
        <v>40.64</v>
      </c>
      <c r="D18" s="14">
        <f>TH!D11+TH!D53</f>
        <v>121.92</v>
      </c>
      <c r="E18" s="13"/>
      <c r="F18" s="14">
        <f>IF(TH!$H$7="x",C18,TH!$D$52)</f>
        <v>40.64</v>
      </c>
      <c r="G18" s="14">
        <f>IF(TH!$H$7="x",D18,TH!$D$53)</f>
        <v>121.92</v>
      </c>
      <c r="H18" s="13"/>
      <c r="I18" s="12"/>
      <c r="J18" s="12"/>
      <c r="K18" s="12"/>
      <c r="L18" s="12"/>
      <c r="M18" s="15"/>
      <c r="N18" s="1"/>
      <c r="O18" s="1"/>
      <c r="P18" s="1"/>
      <c r="Q18" s="1"/>
      <c r="R18" s="1"/>
      <c r="S18" s="6">
        <f>IF(TH!$H$15="x",TH!$D$40*SIN(ATAN($X$16)),0)</f>
        <v>0</v>
      </c>
      <c r="T18" s="7">
        <f>IF(TH!$H$15="x",TH!$D$40*COS(ATAN($X$16)),0)</f>
        <v>0</v>
      </c>
      <c r="U18" s="4"/>
      <c r="V18" s="4"/>
      <c r="W18" s="7"/>
      <c r="X18" s="4"/>
    </row>
    <row r="19" spans="1:24" x14ac:dyDescent="0.2">
      <c r="A19" s="16"/>
      <c r="B19" s="17"/>
      <c r="C19" s="20">
        <f>TH!D52</f>
        <v>0</v>
      </c>
      <c r="D19" s="20">
        <f>D18</f>
        <v>121.92</v>
      </c>
      <c r="E19" s="19"/>
      <c r="F19" s="20">
        <f>IF(TH!$H$7="x",C19,TH!$D$52)</f>
        <v>0</v>
      </c>
      <c r="G19" s="20">
        <f>IF(TH!$H$7="x",D19,TH!$D$53)</f>
        <v>121.92</v>
      </c>
      <c r="H19" s="19"/>
      <c r="I19" s="18">
        <f t="shared" ref="I19:J22" si="2">C18-C19</f>
        <v>40.64</v>
      </c>
      <c r="J19" s="18">
        <f t="shared" si="2"/>
        <v>0</v>
      </c>
      <c r="K19" s="18">
        <f>(I19^2+J19^2)^0.5</f>
        <v>40.64</v>
      </c>
      <c r="L19" s="18"/>
      <c r="M19" s="21"/>
      <c r="N19" s="1"/>
      <c r="O19" s="1"/>
      <c r="P19" s="1"/>
      <c r="Q19" s="9" t="s">
        <v>21</v>
      </c>
      <c r="R19" s="1"/>
      <c r="S19" s="4"/>
      <c r="T19" s="4"/>
      <c r="U19" s="4"/>
      <c r="V19" s="4"/>
      <c r="W19" s="7"/>
      <c r="X19" s="4"/>
    </row>
    <row r="20" spans="1:24" x14ac:dyDescent="0.2">
      <c r="A20" s="16"/>
      <c r="B20" s="17"/>
      <c r="C20" s="20">
        <f>C19</f>
        <v>0</v>
      </c>
      <c r="D20" s="20">
        <f>TH!D53</f>
        <v>0</v>
      </c>
      <c r="E20" s="19"/>
      <c r="F20" s="20">
        <f>IF(TH!$H$7="x",C20,TH!$D$52)</f>
        <v>0</v>
      </c>
      <c r="G20" s="20">
        <f>IF(TH!$H$7="x",D20,TH!$D$53)</f>
        <v>0</v>
      </c>
      <c r="H20" s="19"/>
      <c r="I20" s="18">
        <f t="shared" si="2"/>
        <v>0</v>
      </c>
      <c r="J20" s="18">
        <f t="shared" si="2"/>
        <v>121.92</v>
      </c>
      <c r="K20" s="18">
        <f>(I20^2+J20^2)^0.5</f>
        <v>121.92</v>
      </c>
      <c r="L20" s="18"/>
      <c r="M20" s="21"/>
      <c r="N20" s="1"/>
      <c r="O20" s="1"/>
      <c r="P20" s="1"/>
      <c r="Q20" s="1" t="s">
        <v>43</v>
      </c>
      <c r="R20" s="1" t="str">
        <f>TH!$H$14</f>
        <v>x</v>
      </c>
      <c r="S20" s="7">
        <f>S21+(TH!$D$4*COS(ATAN($X$16)))/2+S18</f>
        <v>28.533209616051472</v>
      </c>
      <c r="T20" s="7">
        <f>T21+(TH!$D$4*SIN(ATAN($X$16)))/2</f>
        <v>3.9035315270033095</v>
      </c>
      <c r="U20" s="7">
        <f t="shared" ref="U20:U25" si="3">IF(R20="x",S20,0)</f>
        <v>28.533209616051472</v>
      </c>
      <c r="V20" s="7">
        <f t="shared" ref="V20:V25" si="4">IF(R20="x",T20,0)</f>
        <v>3.9035315270033095</v>
      </c>
      <c r="W20" s="7"/>
      <c r="X20" s="4"/>
    </row>
    <row r="21" spans="1:24" x14ac:dyDescent="0.2">
      <c r="A21" s="16"/>
      <c r="B21" s="17"/>
      <c r="C21" s="20">
        <f>C18</f>
        <v>40.64</v>
      </c>
      <c r="D21" s="20">
        <f>D20</f>
        <v>0</v>
      </c>
      <c r="E21" s="19"/>
      <c r="F21" s="20">
        <f>IF(TH!$H$7="x",C21,TH!$D$52)</f>
        <v>40.64</v>
      </c>
      <c r="G21" s="20">
        <f>IF(TH!$H$7="x",D21,TH!$D$53)</f>
        <v>0</v>
      </c>
      <c r="H21" s="19"/>
      <c r="I21" s="18">
        <f t="shared" si="2"/>
        <v>-40.64</v>
      </c>
      <c r="J21" s="18">
        <f t="shared" si="2"/>
        <v>0</v>
      </c>
      <c r="K21" s="18">
        <f>(I21^2+J21^2)^0.5</f>
        <v>40.64</v>
      </c>
      <c r="L21" s="18"/>
      <c r="M21" s="21"/>
      <c r="N21" s="1"/>
      <c r="O21" s="1"/>
      <c r="P21" s="1"/>
      <c r="Q21" s="1"/>
      <c r="R21" s="1" t="str">
        <f>TH!$H$14</f>
        <v>x</v>
      </c>
      <c r="S21" s="7">
        <f>S16+(TH!D15/Panels!S6)+U16*TH!D22/W16-S18</f>
        <v>27.247421432093272</v>
      </c>
      <c r="T21" s="7">
        <f>T16+(V16*TH!D22/W16)-T18</f>
        <v>19.851783743029788</v>
      </c>
      <c r="U21" s="7">
        <f t="shared" si="3"/>
        <v>27.247421432093272</v>
      </c>
      <c r="V21" s="7">
        <f t="shared" si="4"/>
        <v>19.851783743029788</v>
      </c>
      <c r="W21" s="7"/>
      <c r="X21" s="4"/>
    </row>
    <row r="22" spans="1:24" x14ac:dyDescent="0.2">
      <c r="A22" s="22"/>
      <c r="B22" s="23"/>
      <c r="C22" s="26">
        <f>C18</f>
        <v>40.64</v>
      </c>
      <c r="D22" s="26">
        <f>D18</f>
        <v>121.92</v>
      </c>
      <c r="E22" s="23"/>
      <c r="F22" s="26">
        <f>IF(TH!$H$7="x",C22,TH!$D$52)</f>
        <v>40.64</v>
      </c>
      <c r="G22" s="26">
        <f>IF(TH!$H$7="x",D22,TH!$D$53)</f>
        <v>121.92</v>
      </c>
      <c r="H22" s="23"/>
      <c r="I22" s="24">
        <f t="shared" si="2"/>
        <v>0</v>
      </c>
      <c r="J22" s="24">
        <f t="shared" si="2"/>
        <v>-121.92</v>
      </c>
      <c r="K22" s="24">
        <f>(I22^2+J22^2)^0.5</f>
        <v>121.92</v>
      </c>
      <c r="L22" s="23"/>
      <c r="M22" s="28"/>
      <c r="N22" s="1"/>
      <c r="O22" s="1"/>
      <c r="P22" s="1"/>
      <c r="Q22" s="1"/>
      <c r="R22" s="1" t="str">
        <f>TH!$H$14</f>
        <v>x</v>
      </c>
      <c r="S22" s="7">
        <f>S21+TH!$D$6*SIN(ATAN($X$16))</f>
        <v>12.056711196328051</v>
      </c>
      <c r="T22" s="7">
        <f>T21-TH!$D$6*COS(ATAN($X$16))</f>
        <v>18.627070497809605</v>
      </c>
      <c r="U22" s="7">
        <f t="shared" si="3"/>
        <v>12.056711196328051</v>
      </c>
      <c r="V22" s="7">
        <f t="shared" si="4"/>
        <v>18.627070497809605</v>
      </c>
      <c r="W22" s="7"/>
      <c r="X22" s="4"/>
    </row>
    <row r="23" spans="1:24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 t="str">
        <f>TH!$H$14</f>
        <v>x</v>
      </c>
      <c r="S23" s="7">
        <f>S22+TH!$D$7*COS(ATAN($X$16))/2</f>
        <v>12.980871453548007</v>
      </c>
      <c r="T23" s="7">
        <f>T22+TH!$D$7*SIN(ATAN($X$16))/2</f>
        <v>7.1642642175405733</v>
      </c>
      <c r="U23" s="7">
        <f t="shared" si="3"/>
        <v>12.980871453548007</v>
      </c>
      <c r="V23" s="7">
        <f t="shared" si="4"/>
        <v>7.1642642175405733</v>
      </c>
      <c r="W23" s="4"/>
      <c r="X23" s="4"/>
    </row>
    <row r="24" spans="1:24" x14ac:dyDescent="0.2">
      <c r="A24" s="27" t="str">
        <f>TH!I8</f>
        <v>Panel D (top, bottom)</v>
      </c>
      <c r="B24" s="11"/>
      <c r="C24" s="14">
        <f>C19</f>
        <v>0</v>
      </c>
      <c r="D24" s="14">
        <f>D20+TH!D35</f>
        <v>1.91</v>
      </c>
      <c r="E24" s="13"/>
      <c r="F24" s="14">
        <f>IF(TH!$H$8="x",C24,TH!$D$52)</f>
        <v>0</v>
      </c>
      <c r="G24" s="14">
        <f>IF(TH!$H$8="x",D24,TH!$D$53)</f>
        <v>1.91</v>
      </c>
      <c r="H24" s="13"/>
      <c r="I24" s="12"/>
      <c r="J24" s="12"/>
      <c r="K24" s="12"/>
      <c r="L24" s="12"/>
      <c r="M24" s="15"/>
      <c r="N24" s="1"/>
      <c r="O24" s="1"/>
      <c r="P24" s="1"/>
      <c r="Q24" s="1"/>
      <c r="R24" s="1" t="str">
        <f>TH!$H$14</f>
        <v>x</v>
      </c>
      <c r="S24" s="7">
        <f>S23-TH!$D$8*SIN(ATAN($X$16))</f>
        <v>18.064376847406447</v>
      </c>
      <c r="T24" s="7">
        <f>T23+TH!$D$8*COS(ATAN($X$16))</f>
        <v>7.5741092011772491</v>
      </c>
      <c r="U24" s="7">
        <f t="shared" si="3"/>
        <v>18.064376847406447</v>
      </c>
      <c r="V24" s="7">
        <f t="shared" si="4"/>
        <v>7.5741092011772491</v>
      </c>
      <c r="W24" s="7"/>
      <c r="X24" s="4"/>
    </row>
    <row r="25" spans="1:24" x14ac:dyDescent="0.2">
      <c r="A25" s="16"/>
      <c r="B25" s="17"/>
      <c r="C25" s="20">
        <f>C18</f>
        <v>40.64</v>
      </c>
      <c r="D25" s="20">
        <f>D24</f>
        <v>1.91</v>
      </c>
      <c r="E25" s="19"/>
      <c r="F25" s="20">
        <f>IF(TH!$H$8="x",C25,TH!$D$52)</f>
        <v>40.64</v>
      </c>
      <c r="G25" s="20">
        <f>IF(TH!$H$8="x",D25,TH!$D$53)</f>
        <v>1.91</v>
      </c>
      <c r="H25" s="19"/>
      <c r="I25" s="18">
        <f t="shared" ref="I25:J28" si="5">C24-C25</f>
        <v>-40.64</v>
      </c>
      <c r="J25" s="18">
        <f t="shared" si="5"/>
        <v>0</v>
      </c>
      <c r="K25" s="18">
        <f>(I25^2+J25^2)^0.5</f>
        <v>40.64</v>
      </c>
      <c r="L25" s="18"/>
      <c r="M25" s="21"/>
      <c r="N25" s="1"/>
      <c r="O25" s="1"/>
      <c r="P25" s="1"/>
      <c r="Q25" s="1"/>
      <c r="R25" s="1" t="str">
        <f>TH!$H$14</f>
        <v>x</v>
      </c>
      <c r="S25" s="7">
        <f>S21+TH!$D$5*COS(ATAN($X$16))/2</f>
        <v>28.452847854554083</v>
      </c>
      <c r="T25" s="7">
        <f>T21+(TH!$D$5)*SIN(ATAN($X$16))/2</f>
        <v>4.9002972905049642</v>
      </c>
      <c r="U25" s="7">
        <f t="shared" si="3"/>
        <v>28.452847854554083</v>
      </c>
      <c r="V25" s="7">
        <f t="shared" si="4"/>
        <v>4.9002972905049642</v>
      </c>
      <c r="W25" s="7"/>
      <c r="X25" s="4"/>
    </row>
    <row r="26" spans="1:24" x14ac:dyDescent="0.2">
      <c r="A26" s="16"/>
      <c r="B26" s="17"/>
      <c r="C26" s="20">
        <f>C25</f>
        <v>40.64</v>
      </c>
      <c r="D26" s="20">
        <f>D25-TH!D35</f>
        <v>0</v>
      </c>
      <c r="E26" s="19"/>
      <c r="F26" s="20">
        <f>IF(TH!$H$8="x",C26,TH!$D$52)</f>
        <v>40.64</v>
      </c>
      <c r="G26" s="20">
        <f>IF(TH!$H$8="x",D26,TH!$D$53)</f>
        <v>0</v>
      </c>
      <c r="H26" s="19"/>
      <c r="I26" s="18">
        <f t="shared" si="5"/>
        <v>0</v>
      </c>
      <c r="J26" s="18">
        <f t="shared" si="5"/>
        <v>1.91</v>
      </c>
      <c r="K26" s="18">
        <f>(I26^2+J26^2)^0.5</f>
        <v>1.91</v>
      </c>
      <c r="L26" s="18"/>
      <c r="M26" s="21"/>
      <c r="N26" s="1"/>
      <c r="O26" s="1"/>
      <c r="Q26" s="1"/>
      <c r="R26" s="1"/>
      <c r="S26" s="7"/>
      <c r="T26" s="4"/>
      <c r="U26" s="7"/>
      <c r="V26" s="7"/>
      <c r="W26" s="7"/>
      <c r="X26" s="4"/>
    </row>
    <row r="27" spans="1:24" x14ac:dyDescent="0.2">
      <c r="A27" s="16"/>
      <c r="B27" s="17"/>
      <c r="C27" s="20">
        <f>C24</f>
        <v>0</v>
      </c>
      <c r="D27" s="20">
        <f>D26</f>
        <v>0</v>
      </c>
      <c r="E27" s="19"/>
      <c r="F27" s="20">
        <f>IF(TH!$H$8="x",C27,TH!$D$52)</f>
        <v>0</v>
      </c>
      <c r="G27" s="20">
        <f>IF(TH!$H$8="x",D27,TH!$D$53)</f>
        <v>0</v>
      </c>
      <c r="H27" s="19"/>
      <c r="I27" s="18">
        <f t="shared" si="5"/>
        <v>40.64</v>
      </c>
      <c r="J27" s="18">
        <f t="shared" si="5"/>
        <v>0</v>
      </c>
      <c r="K27" s="18">
        <f>(I27^2+J27^2)^0.5</f>
        <v>40.64</v>
      </c>
      <c r="L27" s="18"/>
      <c r="M27" s="21"/>
      <c r="N27" s="1"/>
      <c r="O27" s="1"/>
      <c r="Q27" s="1"/>
      <c r="R27" s="1" t="str">
        <f>TH!$H$14</f>
        <v>x</v>
      </c>
      <c r="S27" s="7">
        <f>S28-(TH!$D$4*COS(ATAN($X$16)))/2</f>
        <v>25.961633248135072</v>
      </c>
      <c r="T27" s="7">
        <f>T28-(TH!$D$4*SIN(ATAN($X$16)))/2</f>
        <v>35.800035959056267</v>
      </c>
      <c r="U27" s="7">
        <f t="shared" ref="U27:U32" si="6">IF(R27="x",S27,0)</f>
        <v>25.961633248135072</v>
      </c>
      <c r="V27" s="7">
        <f t="shared" ref="V27:V32" si="7">IF(R27="x",T27,0)</f>
        <v>35.800035959056267</v>
      </c>
      <c r="W27" s="7"/>
      <c r="X27" s="4"/>
    </row>
    <row r="28" spans="1:24" x14ac:dyDescent="0.2">
      <c r="A28" s="22"/>
      <c r="B28" s="23"/>
      <c r="C28" s="26">
        <f>C24</f>
        <v>0</v>
      </c>
      <c r="D28" s="26">
        <f>D24</f>
        <v>1.91</v>
      </c>
      <c r="E28" s="25"/>
      <c r="F28" s="26">
        <f>IF(TH!$H$8="x",C28,TH!$D$52)</f>
        <v>0</v>
      </c>
      <c r="G28" s="26">
        <f>IF(TH!$H$8="x",D28,TH!$D$53)</f>
        <v>1.91</v>
      </c>
      <c r="H28" s="25"/>
      <c r="I28" s="24">
        <f t="shared" si="5"/>
        <v>0</v>
      </c>
      <c r="J28" s="24">
        <f t="shared" si="5"/>
        <v>-1.91</v>
      </c>
      <c r="K28" s="24">
        <f>(I28^2+J28^2)^0.5</f>
        <v>1.91</v>
      </c>
      <c r="L28" s="23"/>
      <c r="M28" s="28"/>
      <c r="N28" s="1"/>
      <c r="O28" s="1"/>
      <c r="Q28" s="1"/>
      <c r="R28" s="1" t="str">
        <f>TH!$H$14</f>
        <v>x</v>
      </c>
      <c r="S28" s="7">
        <f>S21</f>
        <v>27.247421432093272</v>
      </c>
      <c r="T28" s="7">
        <f>T21</f>
        <v>19.851783743029788</v>
      </c>
      <c r="U28" s="7">
        <f t="shared" si="6"/>
        <v>27.247421432093272</v>
      </c>
      <c r="V28" s="7">
        <f t="shared" si="7"/>
        <v>19.851783743029788</v>
      </c>
      <c r="W28" s="7"/>
      <c r="X28" s="4"/>
    </row>
    <row r="29" spans="1:24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Q29" s="1"/>
      <c r="R29" s="1" t="str">
        <f>TH!$H$14</f>
        <v>x</v>
      </c>
      <c r="S29" s="7">
        <f>S22</f>
        <v>12.056711196328051</v>
      </c>
      <c r="T29" s="7">
        <f>T22</f>
        <v>18.627070497809605</v>
      </c>
      <c r="U29" s="7">
        <f t="shared" si="6"/>
        <v>12.056711196328051</v>
      </c>
      <c r="V29" s="7">
        <f t="shared" si="7"/>
        <v>18.627070497809605</v>
      </c>
      <c r="W29" s="7"/>
      <c r="X29" s="4"/>
    </row>
    <row r="30" spans="1:24" x14ac:dyDescent="0.2">
      <c r="A30" s="27" t="str">
        <f>TH!I8</f>
        <v>Panel D (top, bottom)</v>
      </c>
      <c r="B30" s="11"/>
      <c r="C30" s="14">
        <f>C24</f>
        <v>0</v>
      </c>
      <c r="D30" s="14">
        <f>D18</f>
        <v>121.92</v>
      </c>
      <c r="E30" s="13"/>
      <c r="F30" s="14">
        <f>IF(TH!$H$8="x",C30,TH!$D$52)</f>
        <v>0</v>
      </c>
      <c r="G30" s="14">
        <f>IF(TH!$H$8="x",D30,TH!$D$52)</f>
        <v>121.92</v>
      </c>
      <c r="H30" s="13"/>
      <c r="I30" s="12"/>
      <c r="J30" s="12"/>
      <c r="K30" s="12"/>
      <c r="L30" s="12"/>
      <c r="M30" s="15"/>
      <c r="N30" s="1"/>
      <c r="O30" s="1"/>
      <c r="Q30" s="1"/>
      <c r="R30" s="1" t="str">
        <f>TH!$H$14</f>
        <v>x</v>
      </c>
      <c r="S30" s="7">
        <f>S29-TH!$D$7*COS(ATAN($X$16))/2</f>
        <v>11.132550939108095</v>
      </c>
      <c r="T30" s="7">
        <f>T29-TH!$D$7*SIN(ATAN($X$16))/2</f>
        <v>30.089876778078636</v>
      </c>
      <c r="U30" s="7">
        <f t="shared" si="6"/>
        <v>11.132550939108095</v>
      </c>
      <c r="V30" s="7">
        <f t="shared" si="7"/>
        <v>30.089876778078636</v>
      </c>
      <c r="W30" s="4"/>
      <c r="X30" s="4"/>
    </row>
    <row r="31" spans="1:24" x14ac:dyDescent="0.2">
      <c r="A31" s="16"/>
      <c r="B31" s="17"/>
      <c r="C31" s="20">
        <f>C25</f>
        <v>40.64</v>
      </c>
      <c r="D31" s="20">
        <f>D30</f>
        <v>121.92</v>
      </c>
      <c r="E31" s="19"/>
      <c r="F31" s="20">
        <f>IF(TH!$H$8="x",C31,TH!$D$52)</f>
        <v>40.64</v>
      </c>
      <c r="G31" s="20">
        <f>IF(TH!$H$8="x",D31,TH!$D$52)</f>
        <v>121.92</v>
      </c>
      <c r="H31" s="19"/>
      <c r="I31" s="18">
        <f t="shared" ref="I31:J34" si="8">C30-C31</f>
        <v>-40.64</v>
      </c>
      <c r="J31" s="18">
        <f t="shared" si="8"/>
        <v>0</v>
      </c>
      <c r="K31" s="18">
        <f>(I31^2+J31^2)^0.5</f>
        <v>40.64</v>
      </c>
      <c r="L31" s="18"/>
      <c r="M31" s="21"/>
      <c r="N31" s="1"/>
      <c r="O31" s="1"/>
      <c r="Q31" s="1"/>
      <c r="R31" s="1" t="str">
        <f>TH!$H$14</f>
        <v>x</v>
      </c>
      <c r="S31" s="7">
        <f>S30-TH!$D$8*SIN(ATAN($X$16))</f>
        <v>16.216056332966534</v>
      </c>
      <c r="T31" s="7">
        <f>T30+TH!$D$8*COS(ATAN($X$16))</f>
        <v>30.499721761715314</v>
      </c>
      <c r="U31" s="7">
        <f t="shared" si="6"/>
        <v>16.216056332966534</v>
      </c>
      <c r="V31" s="7">
        <f t="shared" si="7"/>
        <v>30.499721761715314</v>
      </c>
      <c r="W31" s="4"/>
      <c r="X31" s="4"/>
    </row>
    <row r="32" spans="1:24" x14ac:dyDescent="0.2">
      <c r="A32" s="16"/>
      <c r="B32" s="17"/>
      <c r="C32" s="20">
        <f>C31</f>
        <v>40.64</v>
      </c>
      <c r="D32" s="20">
        <f>D31-TH!D36</f>
        <v>120.01</v>
      </c>
      <c r="E32" s="19"/>
      <c r="F32" s="20">
        <f>IF(TH!$H$8="x",C32,TH!$D$52)</f>
        <v>40.64</v>
      </c>
      <c r="G32" s="20">
        <f>IF(TH!$H$8="x",D32,TH!$D$52)</f>
        <v>120.01</v>
      </c>
      <c r="H32" s="19"/>
      <c r="I32" s="18">
        <f t="shared" si="8"/>
        <v>0</v>
      </c>
      <c r="J32" s="18">
        <f t="shared" si="8"/>
        <v>1.9099999999999966</v>
      </c>
      <c r="K32" s="18">
        <f>(I32^2+J32^2)^0.5</f>
        <v>1.9099999999999966</v>
      </c>
      <c r="L32" s="18"/>
      <c r="M32" s="21"/>
      <c r="N32" s="1"/>
      <c r="O32" s="1"/>
      <c r="Q32" s="1"/>
      <c r="R32" s="1" t="str">
        <f>TH!$H$14</f>
        <v>x</v>
      </c>
      <c r="S32" s="7">
        <f>S28-TH!$D$5*COS(ATAN($X$16))/2</f>
        <v>26.041995009632462</v>
      </c>
      <c r="T32" s="7">
        <f>T28-(TH!$D$5)*SIN(ATAN($X$16))/2</f>
        <v>34.80327019555461</v>
      </c>
      <c r="U32" s="7">
        <f t="shared" si="6"/>
        <v>26.041995009632462</v>
      </c>
      <c r="V32" s="7">
        <f t="shared" si="7"/>
        <v>34.80327019555461</v>
      </c>
      <c r="W32" s="4"/>
      <c r="X32" s="4"/>
    </row>
    <row r="33" spans="1:24" x14ac:dyDescent="0.2">
      <c r="A33" s="16"/>
      <c r="B33" s="17"/>
      <c r="C33" s="20">
        <f>C30</f>
        <v>0</v>
      </c>
      <c r="D33" s="20">
        <f>D32</f>
        <v>120.01</v>
      </c>
      <c r="E33" s="19"/>
      <c r="F33" s="20">
        <f>IF(TH!$H$8="x",C33,TH!$D$52)</f>
        <v>0</v>
      </c>
      <c r="G33" s="20">
        <f>IF(TH!$H$8="x",D33,TH!$D$52)</f>
        <v>120.01</v>
      </c>
      <c r="H33" s="19"/>
      <c r="I33" s="18">
        <f t="shared" si="8"/>
        <v>40.64</v>
      </c>
      <c r="J33" s="18">
        <f t="shared" si="8"/>
        <v>0</v>
      </c>
      <c r="K33" s="18">
        <f>(I33^2+J33^2)^0.5</f>
        <v>40.64</v>
      </c>
      <c r="L33" s="18"/>
      <c r="M33" s="21"/>
      <c r="N33" s="1"/>
      <c r="O33" s="1"/>
      <c r="Q33" s="1"/>
      <c r="R33" s="1"/>
      <c r="S33" s="7"/>
      <c r="T33" s="4"/>
      <c r="U33" s="7"/>
      <c r="V33" s="7"/>
      <c r="W33" s="4"/>
      <c r="X33" s="4"/>
    </row>
    <row r="34" spans="1:24" x14ac:dyDescent="0.2">
      <c r="A34" s="22"/>
      <c r="B34" s="23"/>
      <c r="C34" s="26">
        <f>C33</f>
        <v>0</v>
      </c>
      <c r="D34" s="26">
        <f>D31</f>
        <v>121.92</v>
      </c>
      <c r="E34" s="25"/>
      <c r="F34" s="26">
        <f>IF(TH!$H$8="x",C34,TH!$D$52)</f>
        <v>0</v>
      </c>
      <c r="G34" s="26">
        <f>IF(TH!$H$8="x",D34,TH!$D$52)</f>
        <v>121.92</v>
      </c>
      <c r="H34" s="25"/>
      <c r="I34" s="24">
        <f t="shared" si="8"/>
        <v>0</v>
      </c>
      <c r="J34" s="24">
        <f t="shared" si="8"/>
        <v>-1.9099999999999966</v>
      </c>
      <c r="K34" s="24">
        <f>(I34^2+J34^2)^0.5</f>
        <v>1.9099999999999966</v>
      </c>
      <c r="L34" s="23"/>
      <c r="M34" s="28"/>
      <c r="N34" s="1"/>
      <c r="O34" s="1"/>
      <c r="Q34" s="1"/>
      <c r="R34" s="1" t="str">
        <f>TH!$H$14</f>
        <v>x</v>
      </c>
      <c r="S34" s="7">
        <f>S31</f>
        <v>16.216056332966534</v>
      </c>
      <c r="T34" s="7">
        <f>T31</f>
        <v>30.499721761715314</v>
      </c>
      <c r="U34" s="7">
        <f>IF(R34="x",S34,0)</f>
        <v>16.216056332966534</v>
      </c>
      <c r="V34" s="7">
        <f>IF(R34="x",T34,0)</f>
        <v>30.499721761715314</v>
      </c>
      <c r="W34" s="4"/>
      <c r="X34" s="4"/>
    </row>
    <row r="35" spans="1:24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Q35" s="1"/>
      <c r="R35" s="1" t="str">
        <f>TH!$H$14</f>
        <v>x</v>
      </c>
      <c r="S35" s="7">
        <f>S24</f>
        <v>18.064376847406447</v>
      </c>
      <c r="T35" s="7">
        <f>T24</f>
        <v>7.5741092011772491</v>
      </c>
      <c r="U35" s="7">
        <f>IF(R35="x",S35,0)</f>
        <v>18.064376847406447</v>
      </c>
      <c r="V35" s="7">
        <f>IF(R35="x",T35,0)</f>
        <v>7.5741092011772491</v>
      </c>
      <c r="W35" s="4"/>
      <c r="X35" s="4"/>
    </row>
    <row r="36" spans="1:24" x14ac:dyDescent="0.2">
      <c r="A36" s="113" t="str">
        <f>TH!I9</f>
        <v>Panel E (1st inside)</v>
      </c>
      <c r="B36" s="114"/>
      <c r="C36" s="115">
        <f>C12-TH!F38</f>
        <v>28.693933139046244</v>
      </c>
      <c r="D36" s="115">
        <f>D24</f>
        <v>1.91</v>
      </c>
      <c r="E36" s="116"/>
      <c r="F36" s="115">
        <f>IF(TH!$H$9="x",C36,TH!$D$52)</f>
        <v>28.693933139046244</v>
      </c>
      <c r="G36" s="115">
        <f>IF(TH!$H$9="x",D36,TH!$D$53)</f>
        <v>1.91</v>
      </c>
      <c r="H36" s="116"/>
      <c r="I36" s="117"/>
      <c r="J36" s="117"/>
      <c r="K36" s="117"/>
      <c r="L36" s="117">
        <f>IF(C37=C36,"",(D37-D36)/(C37-C36))</f>
        <v>-12.403483260307333</v>
      </c>
      <c r="M36" s="118">
        <f>IF(L36="","",D36-L36*C36)</f>
        <v>357.81471936253797</v>
      </c>
      <c r="N36" s="1"/>
      <c r="O36" s="1"/>
      <c r="P36" s="1"/>
      <c r="Q36" s="1"/>
      <c r="R36" s="1"/>
      <c r="S36" s="1"/>
      <c r="T36" s="1"/>
      <c r="U36" s="1"/>
      <c r="V36" s="1"/>
    </row>
    <row r="37" spans="1:24" x14ac:dyDescent="0.2">
      <c r="A37" s="119"/>
      <c r="B37" s="120"/>
      <c r="C37" s="121">
        <f>C36-TH!F37*Panels!S7</f>
        <v>20.577573869593607</v>
      </c>
      <c r="D37" s="121">
        <f>D36+TH!F37*Panels!S6</f>
        <v>102.58112633329603</v>
      </c>
      <c r="E37" s="122"/>
      <c r="F37" s="121">
        <f>IF(TH!$H$9="x",C37,TH!$D$52)</f>
        <v>20.577573869593607</v>
      </c>
      <c r="G37" s="121">
        <f>IF(TH!$H$9="x",D37,TH!$D$53)</f>
        <v>102.58112633329603</v>
      </c>
      <c r="H37" s="122"/>
      <c r="I37" s="123">
        <f t="shared" ref="I37:J40" si="9">C36-C37</f>
        <v>8.1163592694526372</v>
      </c>
      <c r="J37" s="123">
        <f t="shared" si="9"/>
        <v>-100.67112633329603</v>
      </c>
      <c r="K37" s="123">
        <f>(I37^2+J37^2)^0.5</f>
        <v>100.99777703001824</v>
      </c>
      <c r="L37" s="123">
        <f>IF(C38=C37,"",(D38-D37)/(C38-C37))</f>
        <v>8.062251377402109E-2</v>
      </c>
      <c r="M37" s="124">
        <f>IF(L37="","",D37-L37*C37)</f>
        <v>100.92211060055878</v>
      </c>
      <c r="N37" s="1"/>
      <c r="O37" s="1"/>
      <c r="P37" s="1"/>
      <c r="Q37" s="1"/>
      <c r="R37" s="1"/>
      <c r="S37" s="1"/>
      <c r="T37" s="1"/>
      <c r="U37" s="1"/>
      <c r="V37" s="1"/>
    </row>
    <row r="38" spans="1:24" x14ac:dyDescent="0.2">
      <c r="A38" s="119"/>
      <c r="B38" s="120"/>
      <c r="C38" s="121">
        <f>C37+TH!D37*S6</f>
        <v>22.481396477881766</v>
      </c>
      <c r="D38" s="121">
        <f>D37+TH!D37*Panels!S7</f>
        <v>102.73461729775603</v>
      </c>
      <c r="E38" s="120"/>
      <c r="F38" s="121">
        <f>IF(TH!$H$9="x",C38,TH!$D$52)</f>
        <v>22.481396477881766</v>
      </c>
      <c r="G38" s="121">
        <f>IF(TH!$H$9="x",D38,TH!$D$53)</f>
        <v>102.73461729775603</v>
      </c>
      <c r="H38" s="122"/>
      <c r="I38" s="123">
        <f t="shared" si="9"/>
        <v>-1.9038226082881593</v>
      </c>
      <c r="J38" s="123">
        <f t="shared" si="9"/>
        <v>-0.15349096446000488</v>
      </c>
      <c r="K38" s="123">
        <f>(I38^2+J38^2)^0.5</f>
        <v>1.9099999999999979</v>
      </c>
      <c r="L38" s="123">
        <f>IF(C39=C38,"",(D39-D38)/(C39-C38))</f>
        <v>-12.403483260307333</v>
      </c>
      <c r="M38" s="124">
        <f>IF(L38="","",D38-L38*C38)</f>
        <v>381.58224217949476</v>
      </c>
      <c r="N38" s="1"/>
      <c r="O38" s="1"/>
      <c r="P38" s="1"/>
      <c r="Q38" s="1" t="s">
        <v>49</v>
      </c>
      <c r="R38" s="1"/>
      <c r="S38" s="1"/>
      <c r="T38" s="1"/>
      <c r="U38" s="1"/>
      <c r="V38" s="1"/>
    </row>
    <row r="39" spans="1:24" x14ac:dyDescent="0.2">
      <c r="A39" s="119"/>
      <c r="B39" s="120"/>
      <c r="C39" s="121">
        <f>C38+TH!F37*Panels!S7</f>
        <v>30.597755747334404</v>
      </c>
      <c r="D39" s="121">
        <f>D38-TH!F37*Panels!S6</f>
        <v>2.0634909644600015</v>
      </c>
      <c r="E39" s="120"/>
      <c r="F39" s="121">
        <f>IF(TH!$H$9="x",C39,TH!$D$52)</f>
        <v>30.597755747334404</v>
      </c>
      <c r="G39" s="121">
        <f>IF(TH!$H$9="x",D39,TH!$D$53)</f>
        <v>2.0634909644600015</v>
      </c>
      <c r="H39" s="122"/>
      <c r="I39" s="123">
        <f t="shared" si="9"/>
        <v>-8.1163592694526372</v>
      </c>
      <c r="J39" s="123">
        <f t="shared" si="9"/>
        <v>100.67112633329603</v>
      </c>
      <c r="K39" s="123">
        <f>(I39^2+J39^2)^0.5</f>
        <v>100.99777703001824</v>
      </c>
      <c r="L39" s="123">
        <f>IF(C40=C39,"",(D40-D39)/(C40-C39))</f>
        <v>8.0622513774019341E-2</v>
      </c>
      <c r="M39" s="124">
        <f>IF(L39="","",D39-L39*C39)</f>
        <v>-0.40337701973354578</v>
      </c>
      <c r="N39" s="1"/>
      <c r="O39" s="1"/>
      <c r="P39" s="1"/>
      <c r="Q39" s="1"/>
      <c r="R39" s="1"/>
      <c r="S39" s="52">
        <f>MIN(C6:D34)-5</f>
        <v>-5</v>
      </c>
      <c r="T39" s="52">
        <f>S39</f>
        <v>-5</v>
      </c>
      <c r="U39" s="1"/>
      <c r="V39" s="1"/>
    </row>
    <row r="40" spans="1:24" x14ac:dyDescent="0.2">
      <c r="A40" s="125"/>
      <c r="B40" s="126"/>
      <c r="C40" s="127">
        <f>C36</f>
        <v>28.693933139046244</v>
      </c>
      <c r="D40" s="127">
        <f>D36</f>
        <v>1.91</v>
      </c>
      <c r="E40" s="126"/>
      <c r="F40" s="127">
        <f>IF(TH!$H$9="x",C40,TH!$D$52)</f>
        <v>28.693933139046244</v>
      </c>
      <c r="G40" s="127">
        <f>IF(TH!$H$9="x",D40,TH!$D$53)</f>
        <v>1.91</v>
      </c>
      <c r="H40" s="126"/>
      <c r="I40" s="128">
        <f t="shared" si="9"/>
        <v>1.9038226082881593</v>
      </c>
      <c r="J40" s="128">
        <f t="shared" si="9"/>
        <v>0.15349096446000154</v>
      </c>
      <c r="K40" s="128">
        <f>(I40^2+J40^2)^0.5</f>
        <v>1.9099999999999977</v>
      </c>
      <c r="L40" s="128"/>
      <c r="M40" s="129"/>
      <c r="N40" s="1"/>
      <c r="O40" s="1"/>
      <c r="P40" s="1"/>
      <c r="Q40" s="1"/>
      <c r="R40" s="1"/>
      <c r="S40" s="52">
        <f>S39</f>
        <v>-5</v>
      </c>
      <c r="T40" s="52">
        <f>MAX(C6:D34)</f>
        <v>121.92</v>
      </c>
      <c r="U40" s="1"/>
      <c r="V40" s="1"/>
    </row>
    <row r="41" spans="1:24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2"/>
      <c r="R41" s="1"/>
      <c r="S41" s="10"/>
      <c r="T41" s="10"/>
      <c r="U41" s="1"/>
      <c r="V41" s="1"/>
    </row>
    <row r="42" spans="1:24" x14ac:dyDescent="0.2">
      <c r="N42" s="1"/>
      <c r="O42" s="1"/>
      <c r="P42" s="1"/>
      <c r="Q42" s="3"/>
      <c r="R42" s="1"/>
      <c r="S42" s="52">
        <f>S39</f>
        <v>-5</v>
      </c>
      <c r="T42" s="52">
        <f>S42</f>
        <v>-5</v>
      </c>
      <c r="U42" s="1"/>
      <c r="V42" s="1"/>
    </row>
    <row r="43" spans="1:24" x14ac:dyDescent="0.2">
      <c r="N43" s="1"/>
      <c r="O43" s="1"/>
      <c r="P43" s="1"/>
      <c r="Q43" s="3"/>
      <c r="R43" s="1"/>
      <c r="S43" s="52">
        <f>T40</f>
        <v>121.92</v>
      </c>
      <c r="T43" s="52">
        <f>T42</f>
        <v>-5</v>
      </c>
      <c r="U43" s="1"/>
      <c r="V43" s="1"/>
    </row>
    <row r="44" spans="1:24" x14ac:dyDescent="0.2">
      <c r="N44" s="1"/>
      <c r="O44" s="1"/>
      <c r="P44" s="1"/>
    </row>
    <row r="45" spans="1:24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1:24" x14ac:dyDescent="0.2">
      <c r="N46" s="1"/>
      <c r="O46" s="1"/>
      <c r="P46" s="1"/>
    </row>
    <row r="47" spans="1:2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24" x14ac:dyDescent="0.2">
      <c r="O48" s="1"/>
      <c r="P48" s="1"/>
    </row>
    <row r="49" spans="15:22" x14ac:dyDescent="0.2">
      <c r="O49" s="1"/>
      <c r="P49" s="1"/>
    </row>
    <row r="50" spans="15:22" x14ac:dyDescent="0.2">
      <c r="O50" s="1"/>
      <c r="P50" s="1"/>
    </row>
    <row r="51" spans="15:22" x14ac:dyDescent="0.2">
      <c r="O51" s="1"/>
      <c r="P51" s="1"/>
    </row>
    <row r="52" spans="15:22" x14ac:dyDescent="0.2">
      <c r="O52" s="1"/>
      <c r="P52" s="1"/>
    </row>
    <row r="53" spans="15:22" x14ac:dyDescent="0.2">
      <c r="O53" s="1"/>
      <c r="P53" s="1"/>
    </row>
    <row r="54" spans="15:22" x14ac:dyDescent="0.2">
      <c r="O54" s="1"/>
      <c r="P54" s="3"/>
      <c r="Q54" s="3"/>
      <c r="R54" s="1"/>
      <c r="S54" s="1"/>
      <c r="T54" s="1"/>
      <c r="U54" s="1"/>
      <c r="V54" s="1"/>
    </row>
    <row r="55" spans="15:22" x14ac:dyDescent="0.2">
      <c r="O55" s="1"/>
      <c r="P55" s="3"/>
      <c r="Q55" s="3"/>
      <c r="R55" s="1"/>
      <c r="S55" s="1"/>
      <c r="T55" s="1"/>
      <c r="U55" s="1"/>
      <c r="V55" s="1"/>
    </row>
    <row r="56" spans="15:22" x14ac:dyDescent="0.2">
      <c r="O56" s="1"/>
      <c r="P56" s="3"/>
      <c r="Q56" s="3"/>
      <c r="R56" s="1"/>
      <c r="S56" s="1"/>
      <c r="T56" s="1"/>
      <c r="U56" s="1"/>
      <c r="V56" s="1"/>
    </row>
    <row r="57" spans="15:22" x14ac:dyDescent="0.2">
      <c r="O57" s="1"/>
      <c r="P57" s="1"/>
      <c r="Q57" s="1"/>
      <c r="R57" s="1"/>
      <c r="V57" s="1"/>
    </row>
    <row r="58" spans="15:22" x14ac:dyDescent="0.2">
      <c r="O58" s="1"/>
      <c r="P58" s="1"/>
      <c r="Q58" s="1"/>
      <c r="R58" s="1"/>
      <c r="V58" s="1"/>
    </row>
    <row r="59" spans="15:22" x14ac:dyDescent="0.2">
      <c r="O59" s="1"/>
      <c r="P59" s="1"/>
      <c r="Q59" s="1"/>
      <c r="R59" s="1"/>
      <c r="V59" s="1"/>
    </row>
    <row r="60" spans="15:22" x14ac:dyDescent="0.2">
      <c r="O60" s="1"/>
      <c r="P60" s="1"/>
      <c r="Q60" s="1"/>
      <c r="R60" s="1"/>
      <c r="V60" s="1"/>
    </row>
    <row r="61" spans="15:22" x14ac:dyDescent="0.2">
      <c r="O61" s="1"/>
      <c r="P61" s="1"/>
      <c r="Q61" s="1"/>
      <c r="R61" s="1"/>
      <c r="V61" s="1"/>
    </row>
    <row r="62" spans="15:22" x14ac:dyDescent="0.2">
      <c r="O62" s="1"/>
      <c r="P62" s="1"/>
      <c r="Q62" s="1"/>
      <c r="R62" s="1"/>
      <c r="S62" s="1"/>
      <c r="T62" s="31"/>
      <c r="U62" s="3"/>
      <c r="V62" s="1"/>
    </row>
    <row r="63" spans="15:22" x14ac:dyDescent="0.2">
      <c r="O63" s="1"/>
      <c r="P63" s="1"/>
      <c r="Q63" s="1"/>
      <c r="R63" s="1"/>
      <c r="S63" s="1"/>
      <c r="T63" s="1"/>
      <c r="U63" s="1"/>
      <c r="V63" s="1"/>
    </row>
    <row r="64" spans="15:22" x14ac:dyDescent="0.2">
      <c r="O64" s="1"/>
      <c r="P64" s="1"/>
      <c r="Q64" s="1"/>
      <c r="R64" s="1"/>
      <c r="S64" s="1"/>
      <c r="T64" s="1"/>
      <c r="U64" s="1"/>
      <c r="V64" s="1"/>
    </row>
    <row r="65" spans="1:22" x14ac:dyDescent="0.2">
      <c r="O65" s="1"/>
      <c r="P65" s="1"/>
      <c r="Q65" s="1"/>
      <c r="R65" s="1"/>
      <c r="S65" s="1"/>
      <c r="T65" s="1"/>
      <c r="U65" s="1"/>
      <c r="V65" s="1"/>
    </row>
    <row r="66" spans="1:22" x14ac:dyDescent="0.2">
      <c r="V66" s="1"/>
    </row>
    <row r="67" spans="1:22" x14ac:dyDescent="0.2">
      <c r="V67" s="1"/>
    </row>
    <row r="68" spans="1:22" x14ac:dyDescent="0.2">
      <c r="V68" s="1"/>
    </row>
    <row r="69" spans="1:22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1" spans="1:22" ht="10.5" customHeight="1" x14ac:dyDescent="0.2"/>
    <row r="72" spans="1:22" ht="10.5" customHeight="1" x14ac:dyDescent="0.2"/>
    <row r="73" spans="1:22" ht="10.5" customHeight="1" x14ac:dyDescent="0.2"/>
    <row r="74" spans="1:22" ht="10.5" customHeight="1" x14ac:dyDescent="0.2"/>
    <row r="75" spans="1:22" ht="10.5" customHeight="1" x14ac:dyDescent="0.2"/>
    <row r="76" spans="1:22" ht="10.5" customHeight="1" x14ac:dyDescent="0.2"/>
    <row r="77" spans="1:22" ht="10.5" customHeight="1" x14ac:dyDescent="0.2"/>
    <row r="78" spans="1:22" ht="10.5" customHeight="1" x14ac:dyDescent="0.2"/>
    <row r="79" spans="1:22" ht="10.5" customHeight="1" x14ac:dyDescent="0.2"/>
    <row r="80" spans="1:22" ht="10.5" customHeight="1" x14ac:dyDescent="0.2"/>
    <row r="81" ht="10.5" customHeight="1" x14ac:dyDescent="0.2"/>
    <row r="82" ht="10.5" customHeight="1" x14ac:dyDescent="0.2"/>
    <row r="83" ht="10.5" customHeight="1" x14ac:dyDescent="0.2"/>
    <row r="84" ht="10.5" customHeight="1" x14ac:dyDescent="0.2"/>
    <row r="85" ht="10.5" customHeight="1" x14ac:dyDescent="0.2"/>
    <row r="86" ht="10.5" customHeight="1" x14ac:dyDescent="0.2"/>
    <row r="87" ht="10.5" customHeight="1" x14ac:dyDescent="0.2"/>
    <row r="88" ht="10.5" customHeight="1" x14ac:dyDescent="0.2"/>
    <row r="89" ht="10.5" customHeight="1" x14ac:dyDescent="0.2"/>
    <row r="90" ht="10.5" customHeight="1" x14ac:dyDescent="0.2"/>
    <row r="91" ht="10.5" customHeight="1" x14ac:dyDescent="0.2"/>
    <row r="92" ht="10.5" customHeight="1" x14ac:dyDescent="0.2"/>
    <row r="93" ht="10.5" customHeight="1" x14ac:dyDescent="0.2"/>
    <row r="94" ht="10.5" customHeight="1" x14ac:dyDescent="0.2"/>
    <row r="95" ht="10.5" customHeight="1" x14ac:dyDescent="0.2"/>
    <row r="96" ht="10.5" customHeight="1" x14ac:dyDescent="0.2"/>
    <row r="97" ht="10.5" customHeight="1" x14ac:dyDescent="0.2"/>
    <row r="98" ht="10.5" customHeight="1" x14ac:dyDescent="0.2"/>
    <row r="99" ht="10.5" customHeight="1" x14ac:dyDescent="0.2"/>
    <row r="100" ht="10.5" customHeight="1" x14ac:dyDescent="0.2"/>
    <row r="101" ht="10.5" customHeight="1" x14ac:dyDescent="0.2"/>
    <row r="102" ht="10.5" customHeight="1" x14ac:dyDescent="0.2"/>
    <row r="103" ht="10.5" customHeight="1" x14ac:dyDescent="0.2"/>
    <row r="104" ht="10.5" customHeight="1" x14ac:dyDescent="0.2"/>
    <row r="105" ht="10.5" customHeight="1" x14ac:dyDescent="0.2"/>
    <row r="106" ht="10.5" customHeight="1" x14ac:dyDescent="0.2"/>
    <row r="107" ht="10.5" customHeight="1" x14ac:dyDescent="0.2"/>
    <row r="108" ht="10.5" customHeight="1" x14ac:dyDescent="0.2"/>
    <row r="109" ht="10.5" customHeight="1" x14ac:dyDescent="0.2"/>
    <row r="110" ht="10.5" customHeight="1" x14ac:dyDescent="0.2"/>
    <row r="111" ht="10.5" customHeight="1" x14ac:dyDescent="0.2"/>
    <row r="112" ht="10.5" customHeight="1" x14ac:dyDescent="0.2"/>
  </sheetData>
  <sheetProtection sheet="1" objects="1" scenarios="1"/>
  <protectedRanges>
    <protectedRange sqref="R2" name="Range2"/>
  </protectedRanges>
  <pageMargins left="0.7" right="0.7" top="0.75" bottom="0.75" header="0.3" footer="0.3"/>
  <pageSetup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3:AG78"/>
  <sheetViews>
    <sheetView topLeftCell="A7" workbookViewId="0">
      <selection activeCell="R74" sqref="R74"/>
    </sheetView>
  </sheetViews>
  <sheetFormatPr defaultRowHeight="11.25" x14ac:dyDescent="0.2"/>
  <cols>
    <col min="1" max="23" width="9.140625" style="10"/>
    <col min="24" max="24" width="14.5703125" style="10" customWidth="1"/>
    <col min="25" max="16384" width="9.140625" style="10"/>
  </cols>
  <sheetData>
    <row r="3" spans="3:8" x14ac:dyDescent="0.2">
      <c r="C3" s="10" t="s">
        <v>13</v>
      </c>
      <c r="D3" s="68">
        <f>O28</f>
        <v>259.99851629482816</v>
      </c>
      <c r="E3" s="52">
        <f>N28</f>
        <v>0</v>
      </c>
      <c r="H3" s="67">
        <f>TH!D18-Path!D3</f>
        <v>1.4837051718359362E-3</v>
      </c>
    </row>
    <row r="4" spans="3:8" x14ac:dyDescent="0.2">
      <c r="C4" s="1" t="s">
        <v>37</v>
      </c>
      <c r="D4" s="68">
        <f>O31</f>
        <v>312.13677719958332</v>
      </c>
      <c r="E4" s="52">
        <f>N31</f>
        <v>18.145115769111761</v>
      </c>
      <c r="F4" s="52">
        <f>E4-E3</f>
        <v>18.145115769111761</v>
      </c>
      <c r="H4" s="67">
        <f>TH!D19-Path!D4</f>
        <v>0</v>
      </c>
    </row>
    <row r="5" spans="3:8" x14ac:dyDescent="0.2">
      <c r="C5" s="10" t="s">
        <v>44</v>
      </c>
      <c r="D5" s="68">
        <f>(($D$6-$D$3)*E5/$E$6+$D$3)</f>
        <v>812.7667604256925</v>
      </c>
      <c r="E5" s="52">
        <f>E6-E4-TH!D33</f>
        <v>210.57133475470553</v>
      </c>
      <c r="F5" s="52">
        <f>E5-E4</f>
        <v>192.42621898559378</v>
      </c>
    </row>
    <row r="6" spans="3:8" x14ac:dyDescent="0.2">
      <c r="C6" s="10" t="s">
        <v>14</v>
      </c>
      <c r="D6" s="68">
        <f>O73</f>
        <v>865.41320037178957</v>
      </c>
      <c r="E6" s="52">
        <f>N73</f>
        <v>230.62645052381728</v>
      </c>
      <c r="F6" s="52">
        <f>E6-E5</f>
        <v>20.055115769111751</v>
      </c>
    </row>
    <row r="7" spans="3:8" x14ac:dyDescent="0.2">
      <c r="C7" s="10" t="s">
        <v>62</v>
      </c>
      <c r="D7" s="52">
        <f>TH!D12-2*TH!D34</f>
        <v>32.56</v>
      </c>
      <c r="E7" s="52"/>
    </row>
    <row r="8" spans="3:8" x14ac:dyDescent="0.2">
      <c r="C8" s="10" t="s">
        <v>63</v>
      </c>
      <c r="D8" s="52">
        <f>D3/D7</f>
        <v>7.9852124169173262</v>
      </c>
    </row>
    <row r="9" spans="3:8" x14ac:dyDescent="0.2">
      <c r="C9" s="10" t="s">
        <v>64</v>
      </c>
      <c r="D9" s="52">
        <f>D7</f>
        <v>32.56</v>
      </c>
    </row>
    <row r="10" spans="3:8" x14ac:dyDescent="0.2">
      <c r="C10" s="10" t="s">
        <v>65</v>
      </c>
      <c r="D10" s="52">
        <f>D5/D9</f>
        <v>24.962124091698172</v>
      </c>
    </row>
    <row r="11" spans="3:8" x14ac:dyDescent="0.2">
      <c r="C11" s="10" t="s">
        <v>71</v>
      </c>
      <c r="D11" s="52">
        <f>ATAN((D10-D8)/E5)*180/PI()</f>
        <v>4.6093928963511797</v>
      </c>
    </row>
    <row r="12" spans="3:8" x14ac:dyDescent="0.2">
      <c r="D12" s="52"/>
    </row>
    <row r="13" spans="3:8" x14ac:dyDescent="0.2">
      <c r="D13" s="52"/>
    </row>
    <row r="14" spans="3:8" x14ac:dyDescent="0.2">
      <c r="D14" s="52"/>
    </row>
    <row r="17" spans="1:33" x14ac:dyDescent="0.2">
      <c r="C17" s="62" t="s">
        <v>60</v>
      </c>
      <c r="G17" s="10" t="s">
        <v>12</v>
      </c>
      <c r="H17" s="10">
        <f>TH!E33</f>
        <v>32.56</v>
      </c>
      <c r="X17" s="9" t="s">
        <v>61</v>
      </c>
    </row>
    <row r="18" spans="1:33" x14ac:dyDescent="0.2">
      <c r="C18" s="69" t="s">
        <v>32</v>
      </c>
      <c r="D18" s="70"/>
      <c r="E18" s="224">
        <f>COS(TH!$F$31*PI()/180)</f>
        <v>0.99676576350165491</v>
      </c>
      <c r="I18" s="10" t="s">
        <v>53</v>
      </c>
    </row>
    <row r="19" spans="1:33" x14ac:dyDescent="0.2">
      <c r="C19" s="71" t="s">
        <v>33</v>
      </c>
      <c r="D19" s="72"/>
      <c r="E19" s="225">
        <f>SIN(TH!$F$31*PI()/180)</f>
        <v>8.0361761497387427E-2</v>
      </c>
      <c r="Y19" s="29" t="s">
        <v>62</v>
      </c>
      <c r="Z19" s="29" t="s">
        <v>63</v>
      </c>
      <c r="AA19" s="29" t="s">
        <v>64</v>
      </c>
      <c r="AB19" s="29" t="s">
        <v>65</v>
      </c>
      <c r="AC19" s="29" t="s">
        <v>66</v>
      </c>
      <c r="AD19" s="29" t="s">
        <v>67</v>
      </c>
      <c r="AE19" s="29" t="s">
        <v>5</v>
      </c>
      <c r="AF19" s="29" t="s">
        <v>6</v>
      </c>
      <c r="AG19" s="66"/>
    </row>
    <row r="20" spans="1:33" x14ac:dyDescent="0.2">
      <c r="C20" s="71" t="s">
        <v>36</v>
      </c>
      <c r="D20" s="72"/>
      <c r="E20" s="225">
        <f>TAN(TH!$F$31*PI()/180)</f>
        <v>8.0622513774023699E-2</v>
      </c>
      <c r="X20" s="9" t="s">
        <v>68</v>
      </c>
      <c r="Y20" s="52">
        <f>Panels!S22</f>
        <v>12.056711196328051</v>
      </c>
      <c r="Z20" s="52">
        <f>Panels!T22</f>
        <v>18.627070497809605</v>
      </c>
      <c r="AA20" s="52">
        <f>Panels!S28</f>
        <v>27.247421432093272</v>
      </c>
      <c r="AB20" s="52">
        <f>Panels!T28</f>
        <v>19.851783743029788</v>
      </c>
      <c r="AC20" s="67">
        <f>(AB20-Z20)/(AA20-Y20)</f>
        <v>8.0622513774023616E-2</v>
      </c>
      <c r="AD20" s="67">
        <f>(AB20*Y20-Z20*AA20)/(Y20-AA20)</f>
        <v>17.655028133314222</v>
      </c>
      <c r="AF20" s="52"/>
      <c r="AG20" s="52"/>
    </row>
    <row r="21" spans="1:33" x14ac:dyDescent="0.2">
      <c r="C21" s="71"/>
      <c r="D21" s="72"/>
      <c r="E21" s="225"/>
      <c r="X21" s="9" t="str">
        <f>TH!I6</f>
        <v>Panel B (back)</v>
      </c>
      <c r="Y21" s="52">
        <f>Panels!C39</f>
        <v>30.597755747334404</v>
      </c>
      <c r="Z21" s="52">
        <f>Panels!D39</f>
        <v>2.0634909644600015</v>
      </c>
      <c r="AA21" s="52">
        <f>Panels!C38</f>
        <v>22.481396477881766</v>
      </c>
      <c r="AB21" s="52">
        <f>Panels!D38</f>
        <v>102.73461729775603</v>
      </c>
      <c r="AC21" s="67">
        <f>(AB21-Z21)/(AA21-Y21)</f>
        <v>-12.403483260307333</v>
      </c>
      <c r="AD21" s="67">
        <f>(AB21*Y21-Z21*AA21)/(Y21-AA21)</f>
        <v>381.58224217949476</v>
      </c>
      <c r="AE21" s="52">
        <f>(AD20-AD21)/(AC21-AC20)</f>
        <v>29.151244040381432</v>
      </c>
      <c r="AF21" s="52">
        <f>AE21*AC21+AD21</f>
        <v>20.005274707489775</v>
      </c>
      <c r="AG21" s="52"/>
    </row>
    <row r="22" spans="1:33" x14ac:dyDescent="0.2">
      <c r="C22" s="71" t="s">
        <v>32</v>
      </c>
      <c r="D22" s="72"/>
      <c r="E22" s="225">
        <f>COS(TH!$F$31*PI()/(180*2))</f>
        <v>0.99919111372691238</v>
      </c>
    </row>
    <row r="23" spans="1:33" x14ac:dyDescent="0.2">
      <c r="C23" s="71" t="s">
        <v>33</v>
      </c>
      <c r="D23" s="72"/>
      <c r="E23" s="225">
        <f>SIN(TH!$F$31*PI()/(180*2))</f>
        <v>4.0213408823084773E-2</v>
      </c>
      <c r="X23" s="9" t="str">
        <f>X21</f>
        <v>Panel B (back)</v>
      </c>
      <c r="Y23" s="52">
        <f>Y21</f>
        <v>30.597755747334404</v>
      </c>
      <c r="Z23" s="52">
        <f t="shared" ref="Z23:AD23" si="0">Z21</f>
        <v>2.0634909644600015</v>
      </c>
      <c r="AA23" s="52">
        <f t="shared" si="0"/>
        <v>22.481396477881766</v>
      </c>
      <c r="AB23" s="52">
        <f t="shared" si="0"/>
        <v>102.73461729775603</v>
      </c>
      <c r="AC23" s="52">
        <f t="shared" si="0"/>
        <v>-12.403483260307333</v>
      </c>
      <c r="AD23" s="52">
        <f t="shared" si="0"/>
        <v>381.58224217949476</v>
      </c>
      <c r="AE23" s="52"/>
      <c r="AF23" s="52"/>
      <c r="AG23" s="52"/>
    </row>
    <row r="24" spans="1:33" x14ac:dyDescent="0.2">
      <c r="C24" s="73" t="s">
        <v>36</v>
      </c>
      <c r="D24" s="74"/>
      <c r="E24" s="226">
        <f>TAN(TH!$F$31*PI()/(180*2))</f>
        <v>4.0245963230288943E-2</v>
      </c>
      <c r="X24" s="9" t="s">
        <v>69</v>
      </c>
      <c r="Y24" s="52">
        <f>C32</f>
        <v>22.481396477881766</v>
      </c>
      <c r="Z24" s="52">
        <f>D32</f>
        <v>102.73461729775603</v>
      </c>
      <c r="AA24" s="52">
        <f>Y24-10*E22</f>
        <v>12.489485340612642</v>
      </c>
      <c r="AB24" s="52">
        <f>Z24-10*E23</f>
        <v>102.33248320952518</v>
      </c>
      <c r="AC24" s="67">
        <f>(AB24-Z24)/(AA24-Y24)</f>
        <v>4.0245963230289387E-2</v>
      </c>
      <c r="AD24" s="67">
        <f>(AB24*Y24-Z24*AA24)/(Y24-AA24)</f>
        <v>101.82983184174165</v>
      </c>
      <c r="AE24" s="52">
        <f>(AD23-AD24)/(AC24-AC23)</f>
        <v>22.481396477881766</v>
      </c>
      <c r="AF24" s="52">
        <f>AE24*AC24+AD24</f>
        <v>102.73461729775603</v>
      </c>
      <c r="AG24" s="52"/>
    </row>
    <row r="25" spans="1:33" x14ac:dyDescent="0.2">
      <c r="A25" s="9" t="s">
        <v>34</v>
      </c>
      <c r="C25" s="29" t="s">
        <v>5</v>
      </c>
      <c r="D25" s="29" t="s">
        <v>6</v>
      </c>
      <c r="F25" s="29" t="s">
        <v>5</v>
      </c>
      <c r="G25" s="29" t="s">
        <v>6</v>
      </c>
      <c r="I25" s="29" t="s">
        <v>12</v>
      </c>
      <c r="J25" s="29" t="s">
        <v>5</v>
      </c>
      <c r="K25" s="29" t="s">
        <v>6</v>
      </c>
      <c r="L25" s="9" t="s">
        <v>35</v>
      </c>
      <c r="M25" s="29" t="s">
        <v>12</v>
      </c>
      <c r="N25" s="9" t="s">
        <v>1</v>
      </c>
      <c r="O25" s="9" t="s">
        <v>40</v>
      </c>
    </row>
    <row r="26" spans="1:33" x14ac:dyDescent="0.2">
      <c r="C26" s="75">
        <f>Panels!C39+TH!D37*Path!E19</f>
        <v>30.751246711794412</v>
      </c>
      <c r="D26" s="76">
        <f>Panels!D36</f>
        <v>1.91</v>
      </c>
      <c r="E26" s="77"/>
      <c r="F26" s="76">
        <f>IF(TH!$H$13="x",C26,0)</f>
        <v>30.751246711794412</v>
      </c>
      <c r="G26" s="76">
        <f>IF(TH!$H$13="x",D26,0)</f>
        <v>1.91</v>
      </c>
      <c r="H26" s="76">
        <f>SUM(C26:C27)/2</f>
        <v>34.740623355897206</v>
      </c>
      <c r="I26" s="76">
        <f>SUM(D26:D27)/2</f>
        <v>2.0705563057303347</v>
      </c>
      <c r="J26" s="76">
        <f>IF(TH!$H$12="x",H26,0)</f>
        <v>34.740623355897206</v>
      </c>
      <c r="K26" s="76">
        <f>IF(TH!$H$12="x",I26,0)</f>
        <v>2.0705563057303347</v>
      </c>
      <c r="L26" s="77"/>
      <c r="M26" s="77"/>
      <c r="N26" s="77"/>
      <c r="O26" s="78"/>
      <c r="P26" s="52">
        <f>((C26-C27)^2+(D26-D27)^2)^0.5</f>
        <v>7.9852124169173262</v>
      </c>
      <c r="R26" s="67">
        <f>TH!D18-Path!O28</f>
        <v>1.4837051718359362E-3</v>
      </c>
      <c r="U26" s="52">
        <f>IF(B27&gt;0,K26,"")</f>
        <v>2.0705563057303347</v>
      </c>
      <c r="X26" s="9"/>
      <c r="Y26" s="52"/>
      <c r="Z26" s="52"/>
      <c r="AA26" s="52"/>
      <c r="AB26" s="52"/>
      <c r="AC26" s="67"/>
      <c r="AD26" s="67"/>
    </row>
    <row r="27" spans="1:33" x14ac:dyDescent="0.2">
      <c r="B27" s="47">
        <v>1</v>
      </c>
      <c r="C27" s="79">
        <f>Panels!C13</f>
        <v>38.730000000000004</v>
      </c>
      <c r="D27" s="80">
        <f>D26+(C27-C26)*E24</f>
        <v>2.2311126114606692</v>
      </c>
      <c r="E27" s="81"/>
      <c r="F27" s="80">
        <f>IF(TH!$H$13="x",C27,0)</f>
        <v>38.730000000000004</v>
      </c>
      <c r="G27" s="80">
        <f>IF(TH!$H$13="x",D27,0)</f>
        <v>2.2311126114606692</v>
      </c>
      <c r="H27" s="80"/>
      <c r="I27" s="80"/>
      <c r="J27" s="80">
        <f>J26</f>
        <v>34.740623355897206</v>
      </c>
      <c r="K27" s="80">
        <f>K26</f>
        <v>2.0705563057303347</v>
      </c>
      <c r="L27" s="81"/>
      <c r="M27" s="81"/>
      <c r="N27" s="80"/>
      <c r="O27" s="82"/>
      <c r="U27" s="52">
        <f>IF(B27&gt;0,K27,"")</f>
        <v>2.0705563057303347</v>
      </c>
      <c r="X27" s="9"/>
      <c r="Y27" s="52"/>
      <c r="Z27" s="52"/>
      <c r="AA27" s="52"/>
      <c r="AB27" s="52"/>
      <c r="AC27" s="67"/>
      <c r="AD27" s="67"/>
      <c r="AE27" s="52"/>
      <c r="AF27" s="52"/>
      <c r="AG27" s="52"/>
    </row>
    <row r="28" spans="1:33" x14ac:dyDescent="0.2">
      <c r="A28" s="9" t="s">
        <v>13</v>
      </c>
      <c r="B28" s="9"/>
      <c r="C28" s="83"/>
      <c r="D28" s="84"/>
      <c r="E28" s="84"/>
      <c r="F28" s="85"/>
      <c r="G28" s="80"/>
      <c r="H28" s="80"/>
      <c r="I28" s="80"/>
      <c r="J28" s="80">
        <f>J27</f>
        <v>34.740623355897206</v>
      </c>
      <c r="K28" s="80">
        <f>K27</f>
        <v>2.0705563057303347</v>
      </c>
      <c r="L28" s="86"/>
      <c r="M28" s="80">
        <v>0</v>
      </c>
      <c r="N28" s="80">
        <f>M28</f>
        <v>0</v>
      </c>
      <c r="O28" s="87">
        <f>((C26-C27)^2+(D26-D27)^2)^0.5*Path!$H$17</f>
        <v>259.99851629482816</v>
      </c>
      <c r="P28" s="68">
        <f t="shared" ref="P28:P37" si="1">O28/2</f>
        <v>129.99925814741408</v>
      </c>
      <c r="Q28" s="68">
        <f t="shared" ref="Q28:Q37" si="2">-P28</f>
        <v>-129.99925814741408</v>
      </c>
      <c r="R28" s="52">
        <f t="shared" ref="R28:R37" si="3">(P28-S28)*2</f>
        <v>0</v>
      </c>
      <c r="S28" s="68">
        <f>((Path!$D$6-Path!$D$3)*N28/Path!$E$6+Path!$D$3)/2</f>
        <v>129.99925814741408</v>
      </c>
      <c r="T28" s="68">
        <f t="shared" ref="T28:T37" si="4">-S28</f>
        <v>-129.99925814741408</v>
      </c>
      <c r="U28" s="52">
        <f>IF(B27&gt;0,K28,"")</f>
        <v>2.0705563057303347</v>
      </c>
    </row>
    <row r="29" spans="1:33" x14ac:dyDescent="0.2">
      <c r="C29" s="75">
        <f>AE21</f>
        <v>29.151244040381432</v>
      </c>
      <c r="D29" s="76">
        <f>AF21</f>
        <v>20.005274707489775</v>
      </c>
      <c r="E29" s="77"/>
      <c r="F29" s="76">
        <f>IF(TH!$H$13="x",C29,0)</f>
        <v>29.151244040381432</v>
      </c>
      <c r="G29" s="76">
        <f>IF(TH!$H$13="x",D29,0)</f>
        <v>20.005274707489775</v>
      </c>
      <c r="H29" s="76">
        <f>SUM(C29:C30)/2</f>
        <v>33.940622020190716</v>
      </c>
      <c r="I29" s="76">
        <f>SUM(D29:D30)/2</f>
        <v>20.198027837561135</v>
      </c>
      <c r="J29" s="76">
        <f>IF(TH!$H$12="x",H29,0)</f>
        <v>33.940622020190716</v>
      </c>
      <c r="K29" s="76">
        <f>IF(TH!$H$12="x",I29,0)</f>
        <v>20.198027837561135</v>
      </c>
      <c r="L29" s="88"/>
      <c r="M29" s="76">
        <f t="shared" ref="M29:O30" si="5">M28</f>
        <v>0</v>
      </c>
      <c r="N29" s="76">
        <f t="shared" si="5"/>
        <v>0</v>
      </c>
      <c r="O29" s="89">
        <f t="shared" si="5"/>
        <v>259.99851629482816</v>
      </c>
      <c r="P29" s="68">
        <f t="shared" si="1"/>
        <v>129.99925814741408</v>
      </c>
      <c r="Q29" s="68">
        <f t="shared" si="2"/>
        <v>-129.99925814741408</v>
      </c>
      <c r="R29" s="52">
        <f t="shared" si="3"/>
        <v>0</v>
      </c>
      <c r="S29" s="68">
        <f>((Path!$D$6-Path!$D$3)*N29/Path!$E$6+Path!$D$3)/2</f>
        <v>129.99925814741408</v>
      </c>
      <c r="T29" s="68">
        <f t="shared" si="4"/>
        <v>-129.99925814741408</v>
      </c>
      <c r="U29" s="52">
        <f>IF(B30&gt;0,K29,"")</f>
        <v>20.198027837561135</v>
      </c>
      <c r="X29" s="9"/>
      <c r="Y29" s="52"/>
      <c r="Z29" s="52"/>
      <c r="AA29" s="52"/>
      <c r="AB29" s="52"/>
      <c r="AC29" s="67"/>
      <c r="AD29" s="67"/>
    </row>
    <row r="30" spans="1:33" x14ac:dyDescent="0.2">
      <c r="A30" s="5" t="s">
        <v>37</v>
      </c>
      <c r="B30" s="47">
        <f>B27+1</f>
        <v>2</v>
      </c>
      <c r="C30" s="79">
        <f>C27</f>
        <v>38.730000000000004</v>
      </c>
      <c r="D30" s="80">
        <f>D29+(C30-C29)*E24</f>
        <v>20.390780967632494</v>
      </c>
      <c r="E30" s="81"/>
      <c r="F30" s="80">
        <f>IF(TH!$H$13="x",C30,0)</f>
        <v>38.730000000000004</v>
      </c>
      <c r="G30" s="80">
        <f>IF(TH!$H$13="x",D30,0)</f>
        <v>20.390780967632494</v>
      </c>
      <c r="H30" s="80"/>
      <c r="I30" s="80"/>
      <c r="J30" s="80">
        <f>J29</f>
        <v>33.940622020190716</v>
      </c>
      <c r="K30" s="80">
        <f>K29</f>
        <v>20.198027837561135</v>
      </c>
      <c r="L30" s="86"/>
      <c r="M30" s="80">
        <f t="shared" si="5"/>
        <v>0</v>
      </c>
      <c r="N30" s="80">
        <f t="shared" si="5"/>
        <v>0</v>
      </c>
      <c r="O30" s="87">
        <f t="shared" si="5"/>
        <v>259.99851629482816</v>
      </c>
      <c r="P30" s="68">
        <f t="shared" si="1"/>
        <v>129.99925814741408</v>
      </c>
      <c r="Q30" s="68">
        <f t="shared" si="2"/>
        <v>-129.99925814741408</v>
      </c>
      <c r="R30" s="52">
        <f t="shared" si="3"/>
        <v>0</v>
      </c>
      <c r="S30" s="68">
        <f>((Path!$D$6-Path!$D$3)*N30/Path!$E$6+Path!$D$3)/2</f>
        <v>129.99925814741408</v>
      </c>
      <c r="T30" s="68">
        <f t="shared" si="4"/>
        <v>-129.99925814741408</v>
      </c>
      <c r="U30" s="52">
        <f>IF(B30&gt;0,K30,"")</f>
        <v>20.198027837561135</v>
      </c>
      <c r="X30" s="9"/>
      <c r="Y30" s="52"/>
      <c r="Z30" s="52"/>
      <c r="AA30" s="52"/>
      <c r="AB30" s="52"/>
      <c r="AC30" s="67"/>
      <c r="AD30" s="67"/>
      <c r="AE30" s="52"/>
      <c r="AF30" s="52"/>
    </row>
    <row r="31" spans="1:33" x14ac:dyDescent="0.2">
      <c r="C31" s="90"/>
      <c r="D31" s="91"/>
      <c r="E31" s="91"/>
      <c r="F31" s="92"/>
      <c r="G31" s="93"/>
      <c r="H31" s="93"/>
      <c r="I31" s="93"/>
      <c r="J31" s="80">
        <f>J30</f>
        <v>33.940622020190716</v>
      </c>
      <c r="K31" s="80">
        <f>K30</f>
        <v>20.198027837561135</v>
      </c>
      <c r="L31" s="94"/>
      <c r="M31" s="93">
        <f>((H29-H26)^2+(I29-I26)^2)^0.5</f>
        <v>18.145115769111761</v>
      </c>
      <c r="N31" s="93">
        <f>N28+M31</f>
        <v>18.145115769111761</v>
      </c>
      <c r="O31" s="87">
        <f>((C29-C30)^2+(D29-D30)^2)^0.5*Path!$H$17</f>
        <v>312.13677719958332</v>
      </c>
      <c r="P31" s="68">
        <f t="shared" si="1"/>
        <v>156.06838859979166</v>
      </c>
      <c r="Q31" s="68">
        <f t="shared" si="2"/>
        <v>-156.06838859979166</v>
      </c>
      <c r="R31" s="52">
        <f t="shared" si="3"/>
        <v>4.5057386769449863</v>
      </c>
      <c r="S31" s="68">
        <f>((Path!$D$6-Path!$D$3)*N31/Path!$E$6+Path!$D$3)/2</f>
        <v>153.81551926131917</v>
      </c>
      <c r="T31" s="68">
        <f t="shared" si="4"/>
        <v>-153.81551926131917</v>
      </c>
      <c r="U31" s="52">
        <f>IF(B30&gt;0,K31,"")</f>
        <v>20.198027837561135</v>
      </c>
      <c r="AE31" s="52"/>
      <c r="AF31" s="52"/>
      <c r="AG31" s="52"/>
    </row>
    <row r="32" spans="1:33" x14ac:dyDescent="0.2">
      <c r="C32" s="75">
        <f>Panels!C38</f>
        <v>22.481396477881766</v>
      </c>
      <c r="D32" s="76">
        <f>Panels!D38</f>
        <v>102.73461729775603</v>
      </c>
      <c r="E32" s="77"/>
      <c r="F32" s="76">
        <f>IF(TH!$H$13="x",C32,0)</f>
        <v>22.481396477881766</v>
      </c>
      <c r="G32" s="76">
        <f>IF(TH!$H$13="x",D32,0)</f>
        <v>102.73461729775603</v>
      </c>
      <c r="H32" s="76">
        <f>SUM(C32:C33)/2</f>
        <v>30.605698238940885</v>
      </c>
      <c r="I32" s="76">
        <f>SUM(D32:D33)/2</f>
        <v>103.06158764770339</v>
      </c>
      <c r="J32" s="76">
        <f>IF(TH!$H$12="x",H32,0)</f>
        <v>30.605698238940885</v>
      </c>
      <c r="K32" s="76">
        <f>IF(TH!$H$12="x",I32,0)</f>
        <v>103.06158764770339</v>
      </c>
      <c r="L32" s="88"/>
      <c r="M32" s="76">
        <f t="shared" ref="M32:O33" si="6">M31</f>
        <v>18.145115769111761</v>
      </c>
      <c r="N32" s="76">
        <f t="shared" si="6"/>
        <v>18.145115769111761</v>
      </c>
      <c r="O32" s="89">
        <f t="shared" si="6"/>
        <v>312.13677719958332</v>
      </c>
      <c r="P32" s="68">
        <f t="shared" si="1"/>
        <v>156.06838859979166</v>
      </c>
      <c r="Q32" s="68">
        <f t="shared" si="2"/>
        <v>-156.06838859979166</v>
      </c>
      <c r="R32" s="52">
        <f t="shared" si="3"/>
        <v>4.5057386769449863</v>
      </c>
      <c r="S32" s="68">
        <f>((Path!$D$6-Path!$D$3)*N32/Path!$E$6+Path!$D$3)/2</f>
        <v>153.81551926131917</v>
      </c>
      <c r="T32" s="68">
        <f t="shared" si="4"/>
        <v>-153.81551926131917</v>
      </c>
      <c r="U32" s="52">
        <f>IF(B33&gt;0,K32,"")</f>
        <v>103.06158764770339</v>
      </c>
      <c r="X32" s="9"/>
      <c r="Y32" s="52"/>
      <c r="Z32" s="52"/>
      <c r="AA32" s="52"/>
      <c r="AB32" s="52"/>
      <c r="AC32" s="67"/>
      <c r="AD32" s="67"/>
    </row>
    <row r="33" spans="2:32" x14ac:dyDescent="0.2">
      <c r="B33" s="47">
        <f>B30+1</f>
        <v>3</v>
      </c>
      <c r="C33" s="79">
        <f>C30</f>
        <v>38.730000000000004</v>
      </c>
      <c r="D33" s="80">
        <f>D32+(C33-C32)*E24</f>
        <v>103.38855799765075</v>
      </c>
      <c r="E33" s="81"/>
      <c r="F33" s="80">
        <f>IF(TH!$H$13="x",C33,0)</f>
        <v>38.730000000000004</v>
      </c>
      <c r="G33" s="80">
        <f>IF(TH!$H$13="x",D33,0)</f>
        <v>103.38855799765075</v>
      </c>
      <c r="H33" s="80"/>
      <c r="I33" s="80"/>
      <c r="J33" s="80">
        <f>J32</f>
        <v>30.605698238940885</v>
      </c>
      <c r="K33" s="80">
        <f>K32</f>
        <v>103.06158764770339</v>
      </c>
      <c r="L33" s="86"/>
      <c r="M33" s="80">
        <f t="shared" si="6"/>
        <v>18.145115769111761</v>
      </c>
      <c r="N33" s="80">
        <f t="shared" si="6"/>
        <v>18.145115769111761</v>
      </c>
      <c r="O33" s="87">
        <f t="shared" si="6"/>
        <v>312.13677719958332</v>
      </c>
      <c r="P33" s="68">
        <f t="shared" si="1"/>
        <v>156.06838859979166</v>
      </c>
      <c r="Q33" s="68">
        <f t="shared" si="2"/>
        <v>-156.06838859979166</v>
      </c>
      <c r="R33" s="52">
        <f t="shared" si="3"/>
        <v>4.5057386769449863</v>
      </c>
      <c r="S33" s="68">
        <f>((Path!$D$6-Path!$D$3)*N33/Path!$E$6+Path!$D$3)/2</f>
        <v>153.81551926131917</v>
      </c>
      <c r="T33" s="68">
        <f t="shared" si="4"/>
        <v>-153.81551926131917</v>
      </c>
      <c r="U33" s="52">
        <f>IF(B33&gt;0,K33,"")</f>
        <v>103.06158764770339</v>
      </c>
      <c r="X33" s="9"/>
      <c r="Y33" s="52"/>
      <c r="Z33" s="52"/>
      <c r="AA33" s="52"/>
      <c r="AB33" s="52"/>
      <c r="AC33" s="67"/>
      <c r="AD33" s="67"/>
      <c r="AE33" s="52"/>
      <c r="AF33" s="52"/>
    </row>
    <row r="34" spans="2:32" x14ac:dyDescent="0.2">
      <c r="C34" s="90"/>
      <c r="D34" s="91"/>
      <c r="E34" s="91"/>
      <c r="F34" s="92"/>
      <c r="G34" s="93"/>
      <c r="H34" s="93"/>
      <c r="I34" s="93"/>
      <c r="J34" s="80">
        <f>J33</f>
        <v>30.605698238940885</v>
      </c>
      <c r="K34" s="80">
        <f>K33</f>
        <v>103.06158764770339</v>
      </c>
      <c r="L34" s="94"/>
      <c r="M34" s="93">
        <f>((H32-H29)^2+(I32-I29)^2)^0.5</f>
        <v>82.930641267481874</v>
      </c>
      <c r="N34" s="93">
        <f>N31+M34</f>
        <v>101.07575703659364</v>
      </c>
      <c r="O34" s="87">
        <f>((C32-C33)^2+(D32-D33)^2)^0.5*Path!$H$17</f>
        <v>529.4828220667755</v>
      </c>
      <c r="P34" s="68">
        <f t="shared" si="1"/>
        <v>264.74141103338775</v>
      </c>
      <c r="Q34" s="68">
        <f t="shared" si="2"/>
        <v>-264.74141103338775</v>
      </c>
      <c r="R34" s="52">
        <f t="shared" si="3"/>
        <v>4.1515680258510201</v>
      </c>
      <c r="S34" s="68">
        <f>((Path!$D$6-Path!$D$3)*N34/Path!$E$6+Path!$D$3)/2</f>
        <v>262.66562702046224</v>
      </c>
      <c r="T34" s="68">
        <f t="shared" si="4"/>
        <v>-262.66562702046224</v>
      </c>
      <c r="U34" s="52">
        <f>IF(B33&gt;0,K34,"")</f>
        <v>103.06158764770339</v>
      </c>
    </row>
    <row r="35" spans="2:32" x14ac:dyDescent="0.2">
      <c r="B35" s="9"/>
      <c r="C35" s="75">
        <f>C32</f>
        <v>22.481396477881766</v>
      </c>
      <c r="D35" s="76">
        <f>D32</f>
        <v>102.73461729775603</v>
      </c>
      <c r="E35" s="77"/>
      <c r="F35" s="76">
        <f>IF(TH!$H$13="x",C35,0)</f>
        <v>22.481396477881766</v>
      </c>
      <c r="G35" s="76">
        <f>IF(TH!$H$13="x",D35,0)</f>
        <v>102.73461729775603</v>
      </c>
      <c r="H35" s="76">
        <f>SUM(C35:C36)/2</f>
        <v>30.605698238940885</v>
      </c>
      <c r="I35" s="76">
        <f>SUM(D35:D36)/2</f>
        <v>107.2169481482907</v>
      </c>
      <c r="J35" s="76">
        <f>IF(TH!$H$12="x",H35,0)</f>
        <v>30.605698238940885</v>
      </c>
      <c r="K35" s="76">
        <f>IF(TH!$H$12="x",I35,0)</f>
        <v>107.2169481482907</v>
      </c>
      <c r="L35" s="88"/>
      <c r="M35" s="76">
        <f t="shared" ref="M35:O36" si="7">M34</f>
        <v>82.930641267481874</v>
      </c>
      <c r="N35" s="76">
        <f t="shared" si="7"/>
        <v>101.07575703659364</v>
      </c>
      <c r="O35" s="89">
        <f t="shared" si="7"/>
        <v>529.4828220667755</v>
      </c>
      <c r="P35" s="68">
        <f t="shared" si="1"/>
        <v>264.74141103338775</v>
      </c>
      <c r="Q35" s="68">
        <f t="shared" si="2"/>
        <v>-264.74141103338775</v>
      </c>
      <c r="R35" s="52">
        <f t="shared" si="3"/>
        <v>4.1515680258510201</v>
      </c>
      <c r="S35" s="68">
        <f>((Path!$D$6-Path!$D$3)*N35/Path!$E$6+Path!$D$3)/2</f>
        <v>262.66562702046224</v>
      </c>
      <c r="T35" s="68">
        <f t="shared" si="4"/>
        <v>-262.66562702046224</v>
      </c>
      <c r="U35" s="52">
        <f>IF(B36&gt;0,K35,"")</f>
        <v>107.2169481482907</v>
      </c>
      <c r="X35" s="9" t="str">
        <f>X23</f>
        <v>Panel B (back)</v>
      </c>
      <c r="Y35" s="52">
        <f>Panels!C36</f>
        <v>28.693933139046244</v>
      </c>
      <c r="Z35" s="52">
        <f>Panels!D36</f>
        <v>1.91</v>
      </c>
      <c r="AA35" s="52">
        <f>Panels!C37</f>
        <v>20.577573869593607</v>
      </c>
      <c r="AB35" s="52">
        <f>Panels!D37</f>
        <v>102.58112633329603</v>
      </c>
      <c r="AC35" s="67">
        <f>(AB35-Z35)/(AA35-Y35)</f>
        <v>-12.403483260307333</v>
      </c>
      <c r="AD35" s="67">
        <f>(AB35*Y35-Z35*AA35)/(Y35-AA35)</f>
        <v>357.81471936253791</v>
      </c>
    </row>
    <row r="36" spans="2:32" x14ac:dyDescent="0.2">
      <c r="B36" s="47">
        <f>B33+1</f>
        <v>4</v>
      </c>
      <c r="C36" s="79">
        <f>C33</f>
        <v>38.730000000000004</v>
      </c>
      <c r="D36" s="80">
        <f>(D33+Panels!D16)/2</f>
        <v>111.69927899882538</v>
      </c>
      <c r="E36" s="81"/>
      <c r="F36" s="80">
        <f>IF(TH!$H$13="x",C36,0)</f>
        <v>38.730000000000004</v>
      </c>
      <c r="G36" s="80">
        <f>IF(TH!$H$13="x",D36,0)</f>
        <v>111.69927899882538</v>
      </c>
      <c r="H36" s="80"/>
      <c r="I36" s="80"/>
      <c r="J36" s="80">
        <f>J35</f>
        <v>30.605698238940885</v>
      </c>
      <c r="K36" s="80">
        <f>K35</f>
        <v>107.2169481482907</v>
      </c>
      <c r="L36" s="86"/>
      <c r="M36" s="80">
        <f t="shared" si="7"/>
        <v>82.930641267481874</v>
      </c>
      <c r="N36" s="80">
        <f t="shared" si="7"/>
        <v>101.07575703659364</v>
      </c>
      <c r="O36" s="87">
        <f t="shared" si="7"/>
        <v>529.4828220667755</v>
      </c>
      <c r="P36" s="68">
        <f t="shared" si="1"/>
        <v>264.74141103338775</v>
      </c>
      <c r="Q36" s="68">
        <f t="shared" si="2"/>
        <v>-264.74141103338775</v>
      </c>
      <c r="R36" s="52">
        <f t="shared" si="3"/>
        <v>4.1515680258510201</v>
      </c>
      <c r="S36" s="68">
        <f>((Path!$D$6-Path!$D$3)*N36/Path!$E$6+Path!$D$3)/2</f>
        <v>262.66562702046224</v>
      </c>
      <c r="T36" s="68">
        <f t="shared" si="4"/>
        <v>-262.66562702046224</v>
      </c>
      <c r="U36" s="52">
        <f>IF(B36&gt;0,K36,"")</f>
        <v>107.2169481482907</v>
      </c>
      <c r="X36" s="9" t="s">
        <v>70</v>
      </c>
      <c r="Y36" s="52">
        <f>Panels!C8</f>
        <v>1.91</v>
      </c>
      <c r="Z36" s="52">
        <f>Panels!D8</f>
        <v>28.489029495448079</v>
      </c>
      <c r="AA36" s="52">
        <f>Y36+10*E22</f>
        <v>11.901911137269124</v>
      </c>
      <c r="AB36" s="52">
        <f>Z36+10*E23</f>
        <v>28.891163583678928</v>
      </c>
      <c r="AC36" s="67">
        <f>(AB36-Z36)/(AA36-Y36)</f>
        <v>4.0245963230289034E-2</v>
      </c>
      <c r="AD36" s="67">
        <f>(AB36*Y36-Z36*AA36)/(Y36-AA36)</f>
        <v>28.412159705678228</v>
      </c>
      <c r="AE36" s="52">
        <f>(AD35-AD36)/(AC36-AC35)</f>
        <v>26.471369935773481</v>
      </c>
      <c r="AF36" s="52">
        <f>AE36*AC36+AD36</f>
        <v>29.477525486768744</v>
      </c>
    </row>
    <row r="37" spans="2:32" x14ac:dyDescent="0.2">
      <c r="B37" s="9"/>
      <c r="C37" s="95"/>
      <c r="D37" s="81"/>
      <c r="E37" s="81"/>
      <c r="F37" s="85"/>
      <c r="G37" s="80"/>
      <c r="H37" s="80"/>
      <c r="I37" s="80"/>
      <c r="J37" s="80">
        <f>J36</f>
        <v>30.605698238940885</v>
      </c>
      <c r="K37" s="80">
        <f>K36</f>
        <v>107.2169481482907</v>
      </c>
      <c r="L37" s="86"/>
      <c r="M37" s="93">
        <f>((H35-H32)^2+(I35-I32)^2)^0.5</f>
        <v>4.1553605005873067</v>
      </c>
      <c r="N37" s="93">
        <f>N34+M37</f>
        <v>105.23111753718095</v>
      </c>
      <c r="O37" s="87">
        <f>((C35-C36)^2+(D35-D36)^2)^0.5*Path!$H$17</f>
        <v>604.23348922514856</v>
      </c>
      <c r="P37" s="68">
        <f t="shared" si="1"/>
        <v>302.11674461257428</v>
      </c>
      <c r="Q37" s="68">
        <f t="shared" si="2"/>
        <v>-302.11674461257428</v>
      </c>
      <c r="R37" s="52">
        <f t="shared" si="3"/>
        <v>67.994048985394556</v>
      </c>
      <c r="S37" s="68">
        <f>((Path!$D$6-Path!$D$3)*N37/Path!$E$6+Path!$D$3)/2</f>
        <v>268.119720119877</v>
      </c>
      <c r="T37" s="68">
        <f t="shared" si="4"/>
        <v>-268.119720119877</v>
      </c>
      <c r="U37" s="52">
        <f>IF(B36&gt;0,K37,"")</f>
        <v>107.2169481482907</v>
      </c>
      <c r="Y37" s="52"/>
      <c r="Z37" s="52"/>
      <c r="AA37" s="52"/>
      <c r="AB37" s="52"/>
      <c r="AC37" s="67"/>
      <c r="AD37" s="67"/>
    </row>
    <row r="38" spans="2:32" x14ac:dyDescent="0.2">
      <c r="B38" s="9"/>
      <c r="C38" s="75">
        <f>C35</f>
        <v>22.481396477881766</v>
      </c>
      <c r="D38" s="76">
        <f>D35</f>
        <v>102.73461729775603</v>
      </c>
      <c r="E38" s="77"/>
      <c r="F38" s="76">
        <f>IF(TH!$H$13="x",C38,0)</f>
        <v>22.481396477881766</v>
      </c>
      <c r="G38" s="76">
        <f>IF(TH!$H$13="x",D38,0)</f>
        <v>102.73461729775603</v>
      </c>
      <c r="H38" s="76">
        <f>SUM(C38:C39)/2</f>
        <v>26.369731254155404</v>
      </c>
      <c r="I38" s="76">
        <f>SUM(D38:D39)/2</f>
        <v>111.37230864887802</v>
      </c>
      <c r="J38" s="76">
        <f>IF(TH!$H$12="x",H38,0)</f>
        <v>26.369731254155404</v>
      </c>
      <c r="K38" s="76">
        <f>IF(TH!$H$12="x",I38,0)</f>
        <v>111.37230864887802</v>
      </c>
      <c r="L38" s="88"/>
      <c r="M38" s="76">
        <f t="shared" ref="M38:O38" si="8">M37</f>
        <v>4.1553605005873067</v>
      </c>
      <c r="N38" s="76">
        <f t="shared" si="8"/>
        <v>105.23111753718095</v>
      </c>
      <c r="O38" s="89">
        <f t="shared" si="8"/>
        <v>604.23348922514856</v>
      </c>
      <c r="P38" s="68">
        <f t="shared" ref="P38:P40" si="9">O38/2</f>
        <v>302.11674461257428</v>
      </c>
      <c r="Q38" s="68">
        <f t="shared" ref="Q38:Q40" si="10">-P38</f>
        <v>-302.11674461257428</v>
      </c>
      <c r="R38" s="52">
        <f t="shared" ref="R38:R40" si="11">(P38-S38)*2</f>
        <v>67.994048985394556</v>
      </c>
      <c r="S38" s="68">
        <f>((Path!$D$6-Path!$D$3)*N38/Path!$E$6+Path!$D$3)/2</f>
        <v>268.119720119877</v>
      </c>
      <c r="T38" s="68">
        <f t="shared" ref="T38:T40" si="12">-S38</f>
        <v>-268.119720119877</v>
      </c>
      <c r="U38" s="52">
        <f>IF(B39&gt;0,K38,"")</f>
        <v>111.37230864887802</v>
      </c>
    </row>
    <row r="39" spans="2:32" x14ac:dyDescent="0.2">
      <c r="B39" s="47">
        <f t="shared" ref="B39" si="13">B36+1</f>
        <v>5</v>
      </c>
      <c r="C39" s="79">
        <f>(C36+C42)/2</f>
        <v>30.258066030429045</v>
      </c>
      <c r="D39" s="80">
        <f>Panels!D16</f>
        <v>120.01</v>
      </c>
      <c r="E39" s="81"/>
      <c r="F39" s="80">
        <f>IF(TH!$H$13="x",C39,0)</f>
        <v>30.258066030429045</v>
      </c>
      <c r="G39" s="80">
        <f>IF(TH!$H$13="x",D39,0)</f>
        <v>120.01</v>
      </c>
      <c r="H39" s="80"/>
      <c r="I39" s="80"/>
      <c r="J39" s="80">
        <f>J38</f>
        <v>26.369731254155404</v>
      </c>
      <c r="K39" s="80">
        <f>K38</f>
        <v>111.37230864887802</v>
      </c>
      <c r="L39" s="86"/>
      <c r="M39" s="80">
        <f t="shared" ref="M39:O39" si="14">M38</f>
        <v>4.1553605005873067</v>
      </c>
      <c r="N39" s="80">
        <f t="shared" si="14"/>
        <v>105.23111753718095</v>
      </c>
      <c r="O39" s="87">
        <f t="shared" si="14"/>
        <v>604.23348922514856</v>
      </c>
      <c r="P39" s="68">
        <f t="shared" si="9"/>
        <v>302.11674461257428</v>
      </c>
      <c r="Q39" s="68">
        <f t="shared" si="10"/>
        <v>-302.11674461257428</v>
      </c>
      <c r="R39" s="52">
        <f t="shared" si="11"/>
        <v>67.994048985394556</v>
      </c>
      <c r="S39" s="68">
        <f>((Path!$D$6-Path!$D$3)*N39/Path!$E$6+Path!$D$3)/2</f>
        <v>268.119720119877</v>
      </c>
      <c r="T39" s="68">
        <f t="shared" si="12"/>
        <v>-268.119720119877</v>
      </c>
      <c r="U39" s="52">
        <f>IF(B39&gt;0,K39,"")</f>
        <v>111.37230864887802</v>
      </c>
      <c r="Y39" s="52"/>
      <c r="Z39" s="52"/>
    </row>
    <row r="40" spans="2:32" x14ac:dyDescent="0.2">
      <c r="B40" s="9"/>
      <c r="C40" s="96"/>
      <c r="D40" s="97"/>
      <c r="E40" s="97"/>
      <c r="F40" s="92"/>
      <c r="G40" s="93"/>
      <c r="H40" s="93"/>
      <c r="I40" s="93"/>
      <c r="J40" s="93">
        <f>J39</f>
        <v>26.369731254155404</v>
      </c>
      <c r="K40" s="93">
        <f>K39</f>
        <v>111.37230864887802</v>
      </c>
      <c r="L40" s="94"/>
      <c r="M40" s="93">
        <f>((H38-H35)^2+(I38-I35)^2)^0.5</f>
        <v>5.9338383181574725</v>
      </c>
      <c r="N40" s="93">
        <f>N37+M40</f>
        <v>111.16495585533842</v>
      </c>
      <c r="O40" s="98">
        <f>((C38-C39)^2+(D38-D39)^2)^0.5*Path!$H$17</f>
        <v>616.85127256082978</v>
      </c>
      <c r="P40" s="68">
        <f t="shared" si="9"/>
        <v>308.42563628041489</v>
      </c>
      <c r="Q40" s="68">
        <f t="shared" si="10"/>
        <v>-308.42563628041489</v>
      </c>
      <c r="R40" s="52">
        <f t="shared" si="11"/>
        <v>65.03498568188229</v>
      </c>
      <c r="S40" s="68">
        <f>((Path!$D$6-Path!$D$3)*N40/Path!$E$6+Path!$D$3)/2</f>
        <v>275.90814343947375</v>
      </c>
      <c r="T40" s="68">
        <f t="shared" si="12"/>
        <v>-275.90814343947375</v>
      </c>
      <c r="U40" s="52">
        <f>IF(B39&gt;0,K40,"")</f>
        <v>111.37230864887802</v>
      </c>
    </row>
    <row r="41" spans="2:32" x14ac:dyDescent="0.2">
      <c r="B41" s="9"/>
      <c r="C41" s="75">
        <f>Panels!C38</f>
        <v>22.481396477881766</v>
      </c>
      <c r="D41" s="76">
        <f>Panels!D38</f>
        <v>102.73461729775603</v>
      </c>
      <c r="E41" s="77"/>
      <c r="F41" s="76">
        <f>IF(TH!$H$13="x",C41,0)</f>
        <v>22.481396477881766</v>
      </c>
      <c r="G41" s="76">
        <f>IF(TH!$H$13="x",D41,0)</f>
        <v>102.73461729775603</v>
      </c>
      <c r="H41" s="76">
        <f>SUM(C41:C42)/2</f>
        <v>22.133764269369927</v>
      </c>
      <c r="I41" s="76">
        <f>SUM(D41:D42)/2</f>
        <v>111.37230864887802</v>
      </c>
      <c r="J41" s="76">
        <f>IF(TH!$H$12="x",H41,0)</f>
        <v>22.133764269369927</v>
      </c>
      <c r="K41" s="76">
        <f>IF(TH!$H$12="x",I41,0)</f>
        <v>111.37230864887802</v>
      </c>
      <c r="L41" s="88"/>
      <c r="M41" s="76">
        <f t="shared" ref="M41:O41" si="15">M40</f>
        <v>5.9338383181574725</v>
      </c>
      <c r="N41" s="76">
        <f t="shared" si="15"/>
        <v>111.16495585533842</v>
      </c>
      <c r="O41" s="89">
        <f t="shared" si="15"/>
        <v>616.85127256082978</v>
      </c>
      <c r="P41" s="68">
        <f t="shared" ref="P41:P43" si="16">O41/2</f>
        <v>308.42563628041489</v>
      </c>
      <c r="Q41" s="68">
        <f t="shared" ref="Q41:Q43" si="17">-P41</f>
        <v>-308.42563628041489</v>
      </c>
      <c r="R41" s="52">
        <f t="shared" ref="R41:R43" si="18">(P41-S41)*2</f>
        <v>65.03498568188229</v>
      </c>
      <c r="S41" s="68">
        <f>((Path!$D$6-Path!$D$3)*N41/Path!$E$6+Path!$D$3)/2</f>
        <v>275.90814343947375</v>
      </c>
      <c r="T41" s="68">
        <f t="shared" ref="T41:T43" si="19">-S41</f>
        <v>-275.90814343947375</v>
      </c>
      <c r="U41" s="52">
        <f>IF(B42&gt;0,K41,"")</f>
        <v>111.37230864887802</v>
      </c>
    </row>
    <row r="42" spans="2:32" x14ac:dyDescent="0.2">
      <c r="B42" s="47">
        <f t="shared" ref="B42" si="20">B39+1</f>
        <v>6</v>
      </c>
      <c r="C42" s="79">
        <f>C41-(D42-D41)*E24</f>
        <v>21.786132060858087</v>
      </c>
      <c r="D42" s="80">
        <f>Panels!D12</f>
        <v>120.01</v>
      </c>
      <c r="E42" s="81"/>
      <c r="F42" s="80">
        <f>IF(TH!$H$13="x",C42,0)</f>
        <v>21.786132060858087</v>
      </c>
      <c r="G42" s="80">
        <f>IF(TH!$H$13="x",D42,0)</f>
        <v>120.01</v>
      </c>
      <c r="H42" s="80"/>
      <c r="I42" s="80"/>
      <c r="J42" s="80">
        <f>J41</f>
        <v>22.133764269369927</v>
      </c>
      <c r="K42" s="80">
        <f>K41</f>
        <v>111.37230864887802</v>
      </c>
      <c r="L42" s="86"/>
      <c r="M42" s="80">
        <f t="shared" ref="M42:O42" si="21">M41</f>
        <v>5.9338383181574725</v>
      </c>
      <c r="N42" s="80">
        <f t="shared" si="21"/>
        <v>111.16495585533842</v>
      </c>
      <c r="O42" s="87">
        <f t="shared" si="21"/>
        <v>616.85127256082978</v>
      </c>
      <c r="P42" s="68">
        <f t="shared" si="16"/>
        <v>308.42563628041489</v>
      </c>
      <c r="Q42" s="68">
        <f t="shared" si="17"/>
        <v>-308.42563628041489</v>
      </c>
      <c r="R42" s="52">
        <f t="shared" si="18"/>
        <v>65.03498568188229</v>
      </c>
      <c r="S42" s="68">
        <f>((Path!$D$6-Path!$D$3)*N42/Path!$E$6+Path!$D$3)/2</f>
        <v>275.90814343947375</v>
      </c>
      <c r="T42" s="68">
        <f t="shared" si="19"/>
        <v>-275.90814343947375</v>
      </c>
      <c r="U42" s="52">
        <f>IF(B42&gt;0,K42,"")</f>
        <v>111.37230864887802</v>
      </c>
    </row>
    <row r="43" spans="2:32" x14ac:dyDescent="0.2">
      <c r="B43" s="9"/>
      <c r="C43" s="96"/>
      <c r="D43" s="97"/>
      <c r="E43" s="97"/>
      <c r="F43" s="97"/>
      <c r="G43" s="97"/>
      <c r="H43" s="97"/>
      <c r="I43" s="97"/>
      <c r="J43" s="93">
        <f>J42</f>
        <v>22.133764269369927</v>
      </c>
      <c r="K43" s="93">
        <f>K42</f>
        <v>111.37230864887802</v>
      </c>
      <c r="L43" s="94"/>
      <c r="M43" s="93">
        <f>((H41-H38)^2+(I41-I38)^2)^0.5</f>
        <v>4.2359669847854775</v>
      </c>
      <c r="N43" s="93">
        <f>N40+M43</f>
        <v>115.4009228401239</v>
      </c>
      <c r="O43" s="98">
        <f>((C41-C42)^2+(D41-D42)^2)^0.5*Path!$H$17</f>
        <v>562.94181669313389</v>
      </c>
      <c r="P43" s="68">
        <f t="shared" si="16"/>
        <v>281.47090834656694</v>
      </c>
      <c r="Q43" s="68">
        <f t="shared" si="17"/>
        <v>-281.47090834656694</v>
      </c>
      <c r="R43" s="52">
        <f t="shared" si="18"/>
        <v>5.7445162310614251E-3</v>
      </c>
      <c r="S43" s="68">
        <f>((Path!$D$6-Path!$D$3)*N43/Path!$E$6+Path!$D$3)/2</f>
        <v>281.46803608845141</v>
      </c>
      <c r="T43" s="68">
        <f t="shared" si="19"/>
        <v>-281.46803608845141</v>
      </c>
      <c r="U43" s="52">
        <f>IF(B42&gt;0,K43,"")</f>
        <v>111.37230864887802</v>
      </c>
    </row>
    <row r="44" spans="2:32" x14ac:dyDescent="0.2">
      <c r="B44" s="9"/>
      <c r="C44" s="75">
        <f>Panels!C37</f>
        <v>20.577573869593607</v>
      </c>
      <c r="D44" s="76">
        <f>Panels!D37</f>
        <v>102.58112633329603</v>
      </c>
      <c r="E44" s="77"/>
      <c r="F44" s="76">
        <f>IF(TH!$H$13="x",C44,0)</f>
        <v>20.577573869593607</v>
      </c>
      <c r="G44" s="76">
        <f>IF(TH!$H$13="x",D44,0)</f>
        <v>102.58112633329603</v>
      </c>
      <c r="H44" s="76">
        <f>SUM(C44:C45)/2</f>
        <v>20.226852965225845</v>
      </c>
      <c r="I44" s="76">
        <f>SUM(D44:D45)/2</f>
        <v>111.29556316664801</v>
      </c>
      <c r="J44" s="76">
        <f>IF(TH!$H$12="x",H44,0)</f>
        <v>20.226852965225845</v>
      </c>
      <c r="K44" s="76">
        <f>IF(TH!$H$12="x",I44,0)</f>
        <v>111.29556316664801</v>
      </c>
      <c r="L44" s="76"/>
      <c r="M44" s="76">
        <f t="shared" ref="M44:O45" si="22">M43</f>
        <v>4.2359669847854775</v>
      </c>
      <c r="N44" s="76">
        <f t="shared" si="22"/>
        <v>115.4009228401239</v>
      </c>
      <c r="O44" s="89">
        <f t="shared" si="22"/>
        <v>562.94181669313389</v>
      </c>
      <c r="P44" s="68">
        <f t="shared" ref="P44:P73" si="23">O44/2</f>
        <v>281.47090834656694</v>
      </c>
      <c r="Q44" s="68">
        <f t="shared" ref="Q44:Q73" si="24">-P44</f>
        <v>-281.47090834656694</v>
      </c>
      <c r="R44" s="52">
        <f t="shared" ref="R44:R73" si="25">(P44-S44)*2</f>
        <v>5.7445162310614251E-3</v>
      </c>
      <c r="S44" s="68">
        <f>((Path!$D$6-Path!$D$3)*N44/Path!$E$6+Path!$D$3)/2</f>
        <v>281.46803608845141</v>
      </c>
      <c r="T44" s="68">
        <f t="shared" ref="T44:T73" si="26">-S44</f>
        <v>-281.46803608845141</v>
      </c>
      <c r="U44" s="52">
        <f>IF(B45&gt;0,K44,"")</f>
        <v>111.29556316664801</v>
      </c>
    </row>
    <row r="45" spans="2:32" x14ac:dyDescent="0.2">
      <c r="B45" s="47">
        <f t="shared" ref="B45:B69" si="27">B42+1</f>
        <v>7</v>
      </c>
      <c r="C45" s="79">
        <f>C44-(D45-D44)*E24</f>
        <v>19.876132060858087</v>
      </c>
      <c r="D45" s="80">
        <f>D42</f>
        <v>120.01</v>
      </c>
      <c r="E45" s="80"/>
      <c r="F45" s="80">
        <f>IF(TH!$H$13="x",C45,0)</f>
        <v>19.876132060858087</v>
      </c>
      <c r="G45" s="80">
        <f>IF(TH!$H$13="x",D45,0)</f>
        <v>120.01</v>
      </c>
      <c r="H45" s="80"/>
      <c r="I45" s="80"/>
      <c r="J45" s="80">
        <f>J44</f>
        <v>20.226852965225845</v>
      </c>
      <c r="K45" s="80">
        <f>K44</f>
        <v>111.29556316664801</v>
      </c>
      <c r="L45" s="81"/>
      <c r="M45" s="80">
        <f t="shared" si="22"/>
        <v>4.2359669847854775</v>
      </c>
      <c r="N45" s="80">
        <f t="shared" si="22"/>
        <v>115.4009228401239</v>
      </c>
      <c r="O45" s="87">
        <f t="shared" si="22"/>
        <v>562.94181669313389</v>
      </c>
      <c r="P45" s="68">
        <f t="shared" si="23"/>
        <v>281.47090834656694</v>
      </c>
      <c r="Q45" s="68">
        <f t="shared" si="24"/>
        <v>-281.47090834656694</v>
      </c>
      <c r="R45" s="52">
        <f t="shared" si="25"/>
        <v>5.7445162310614251E-3</v>
      </c>
      <c r="S45" s="68">
        <f>((Path!$D$6-Path!$D$3)*N45/Path!$E$6+Path!$D$3)/2</f>
        <v>281.46803608845141</v>
      </c>
      <c r="T45" s="68">
        <f t="shared" si="26"/>
        <v>-281.46803608845141</v>
      </c>
      <c r="U45" s="52">
        <f>IF(B45&gt;0,K45,"")</f>
        <v>111.29556316664801</v>
      </c>
    </row>
    <row r="46" spans="2:32" x14ac:dyDescent="0.2">
      <c r="B46" s="9"/>
      <c r="C46" s="96"/>
      <c r="D46" s="97"/>
      <c r="E46" s="97"/>
      <c r="F46" s="97"/>
      <c r="G46" s="97"/>
      <c r="H46" s="97"/>
      <c r="I46" s="97"/>
      <c r="J46" s="93">
        <f>J45</f>
        <v>20.226852965225845</v>
      </c>
      <c r="K46" s="93">
        <f>K45</f>
        <v>111.29556316664801</v>
      </c>
      <c r="L46" s="97"/>
      <c r="M46" s="93">
        <f>((H44-H41)^2+(I44-I41)^2)^0.5</f>
        <v>1.9084550272184038</v>
      </c>
      <c r="N46" s="93">
        <f>N43+M46</f>
        <v>117.30937786734231</v>
      </c>
      <c r="O46" s="98">
        <f>((C44-C45)^2+(D44-D45)^2)^0.5*Path!$H$17</f>
        <v>567.94352831182198</v>
      </c>
      <c r="P46" s="68">
        <f t="shared" si="23"/>
        <v>283.97176415591099</v>
      </c>
      <c r="Q46" s="68">
        <f t="shared" si="24"/>
        <v>-283.97176415591099</v>
      </c>
      <c r="R46" s="52">
        <f t="shared" si="25"/>
        <v>-2.4058941511384546E-3</v>
      </c>
      <c r="S46" s="68">
        <f>((Path!$D$6-Path!$D$3)*N46/Path!$E$6+Path!$D$3)/2</f>
        <v>283.97296710298656</v>
      </c>
      <c r="T46" s="68">
        <f t="shared" si="26"/>
        <v>-283.97296710298656</v>
      </c>
      <c r="U46" s="52">
        <f>IF(B45&gt;0,K46,"")</f>
        <v>111.29556316664801</v>
      </c>
    </row>
    <row r="47" spans="2:32" x14ac:dyDescent="0.2">
      <c r="B47" s="9"/>
      <c r="C47" s="79">
        <f>C44</f>
        <v>20.577573869593607</v>
      </c>
      <c r="D47" s="80">
        <f>D44</f>
        <v>102.58112633329603</v>
      </c>
      <c r="E47" s="81"/>
      <c r="F47" s="76">
        <f>IF(TH!$H$13="x",C47,0)</f>
        <v>20.577573869593607</v>
      </c>
      <c r="G47" s="76">
        <f>IF(TH!$H$13="x",D47,0)</f>
        <v>102.58112633329603</v>
      </c>
      <c r="H47" s="76">
        <f>SUM(C47:C48)/2</f>
        <v>15.910680402195204</v>
      </c>
      <c r="I47" s="76">
        <f>SUM(D47:D48)/2</f>
        <v>111.29556316664801</v>
      </c>
      <c r="J47" s="80">
        <f>IF(TH!$H$12="x",H47,0)</f>
        <v>15.910680402195204</v>
      </c>
      <c r="K47" s="80">
        <f>IF(TH!$H$12="x",I47,0)</f>
        <v>111.29556316664801</v>
      </c>
      <c r="L47" s="81"/>
      <c r="M47" s="80">
        <f t="shared" ref="M47:O48" si="28">M46</f>
        <v>1.9084550272184038</v>
      </c>
      <c r="N47" s="80">
        <f t="shared" si="28"/>
        <v>117.30937786734231</v>
      </c>
      <c r="O47" s="89">
        <f t="shared" si="28"/>
        <v>567.94352831182198</v>
      </c>
      <c r="P47" s="68">
        <f t="shared" si="23"/>
        <v>283.97176415591099</v>
      </c>
      <c r="Q47" s="68">
        <f t="shared" si="24"/>
        <v>-283.97176415591099</v>
      </c>
      <c r="R47" s="52">
        <f t="shared" si="25"/>
        <v>-2.4058941511384546E-3</v>
      </c>
      <c r="S47" s="68">
        <f>((Path!$D$6-Path!$D$3)*N47/Path!$E$6+Path!$D$3)/2</f>
        <v>283.97296710298656</v>
      </c>
      <c r="T47" s="68">
        <f t="shared" si="26"/>
        <v>-283.97296710298656</v>
      </c>
      <c r="U47" s="52">
        <f>IF(B48&gt;0,K47,"")</f>
        <v>111.29556316664801</v>
      </c>
    </row>
    <row r="48" spans="2:32" x14ac:dyDescent="0.2">
      <c r="B48" s="47">
        <f t="shared" ref="B48" si="29">B45+1</f>
        <v>8</v>
      </c>
      <c r="C48" s="79">
        <f>(C51+C47)/2</f>
        <v>11.243786934796804</v>
      </c>
      <c r="D48" s="80">
        <f>D45</f>
        <v>120.01</v>
      </c>
      <c r="E48" s="81"/>
      <c r="F48" s="80">
        <f>IF(TH!$H$13="x",C48,0)</f>
        <v>11.243786934796804</v>
      </c>
      <c r="G48" s="80">
        <f>IF(TH!$H$13="x",D48,0)</f>
        <v>120.01</v>
      </c>
      <c r="H48" s="80"/>
      <c r="I48" s="80"/>
      <c r="J48" s="80">
        <f>J47</f>
        <v>15.910680402195204</v>
      </c>
      <c r="K48" s="80">
        <f>K47</f>
        <v>111.29556316664801</v>
      </c>
      <c r="L48" s="81"/>
      <c r="M48" s="80">
        <f t="shared" si="28"/>
        <v>1.9084550272184038</v>
      </c>
      <c r="N48" s="80">
        <f t="shared" si="28"/>
        <v>117.30937786734231</v>
      </c>
      <c r="O48" s="87">
        <f t="shared" si="28"/>
        <v>567.94352831182198</v>
      </c>
      <c r="P48" s="68">
        <f t="shared" si="23"/>
        <v>283.97176415591099</v>
      </c>
      <c r="Q48" s="68">
        <f t="shared" si="24"/>
        <v>-283.97176415591099</v>
      </c>
      <c r="R48" s="52">
        <f t="shared" si="25"/>
        <v>-2.4058941511384546E-3</v>
      </c>
      <c r="S48" s="68">
        <f>((Path!$D$6-Path!$D$3)*N48/Path!$E$6+Path!$D$3)/2</f>
        <v>283.97296710298656</v>
      </c>
      <c r="T48" s="68">
        <f t="shared" si="26"/>
        <v>-283.97296710298656</v>
      </c>
      <c r="U48" s="52">
        <f>IF(B48&gt;0,K48,"")</f>
        <v>111.29556316664801</v>
      </c>
    </row>
    <row r="49" spans="1:32" x14ac:dyDescent="0.2">
      <c r="B49" s="9"/>
      <c r="C49" s="96"/>
      <c r="D49" s="97"/>
      <c r="E49" s="97"/>
      <c r="F49" s="97"/>
      <c r="G49" s="97"/>
      <c r="H49" s="97"/>
      <c r="I49" s="97"/>
      <c r="J49" s="93">
        <f>J48</f>
        <v>15.910680402195204</v>
      </c>
      <c r="K49" s="93">
        <f>K48</f>
        <v>111.29556316664801</v>
      </c>
      <c r="L49" s="97"/>
      <c r="M49" s="93">
        <f>((H47-H44)^2+(I47-I44)^2)^0.5</f>
        <v>4.3161725630306407</v>
      </c>
      <c r="N49" s="93">
        <f>N46+M49</f>
        <v>121.62555043037295</v>
      </c>
      <c r="O49" s="87">
        <f>((C47-C48)^2+(D47-D48)^2)^0.5*Path!$H$17</f>
        <v>643.73781056677853</v>
      </c>
      <c r="P49" s="68">
        <f t="shared" si="23"/>
        <v>321.86890528338927</v>
      </c>
      <c r="Q49" s="68">
        <f t="shared" si="24"/>
        <v>-321.86890528338927</v>
      </c>
      <c r="R49" s="52">
        <f t="shared" si="25"/>
        <v>64.461544377055134</v>
      </c>
      <c r="S49" s="68">
        <f>((Path!$D$6-Path!$D$3)*N49/Path!$E$6+Path!$D$3)/2</f>
        <v>289.6381330948617</v>
      </c>
      <c r="T49" s="68">
        <f t="shared" si="26"/>
        <v>-289.6381330948617</v>
      </c>
      <c r="U49" s="52">
        <f>IF(B48&gt;0,K49,"")</f>
        <v>111.29556316664801</v>
      </c>
    </row>
    <row r="50" spans="1:32" x14ac:dyDescent="0.2">
      <c r="B50" s="9"/>
      <c r="C50" s="75">
        <f>C47</f>
        <v>20.577573869593607</v>
      </c>
      <c r="D50" s="76">
        <f>D47</f>
        <v>102.58112633329603</v>
      </c>
      <c r="E50" s="77"/>
      <c r="F50" s="76">
        <f>IF(TH!$H$13="x",C50,0)</f>
        <v>20.577573869593607</v>
      </c>
      <c r="G50" s="76">
        <f>IF(TH!$H$13="x",D50,0)</f>
        <v>102.58112633329603</v>
      </c>
      <c r="H50" s="76">
        <f>SUM(C50:C51)/2</f>
        <v>11.243786934796804</v>
      </c>
      <c r="I50" s="76">
        <f>SUM(D50:D51)/2</f>
        <v>106.75052112708343</v>
      </c>
      <c r="J50" s="76">
        <f>IF(TH!$H$12="x",H50,0)</f>
        <v>11.243786934796804</v>
      </c>
      <c r="K50" s="80">
        <f>IF(TH!$H$12="x",I50,0)</f>
        <v>106.75052112708343</v>
      </c>
      <c r="L50" s="77"/>
      <c r="M50" s="76">
        <f t="shared" ref="M50:O51" si="30">M49</f>
        <v>4.3161725630306407</v>
      </c>
      <c r="N50" s="76">
        <f t="shared" si="30"/>
        <v>121.62555043037295</v>
      </c>
      <c r="O50" s="89">
        <f t="shared" si="30"/>
        <v>643.73781056677853</v>
      </c>
      <c r="P50" s="68">
        <f t="shared" si="23"/>
        <v>321.86890528338927</v>
      </c>
      <c r="Q50" s="68">
        <f t="shared" si="24"/>
        <v>-321.86890528338927</v>
      </c>
      <c r="R50" s="52">
        <f t="shared" si="25"/>
        <v>64.461544377055134</v>
      </c>
      <c r="S50" s="68">
        <f>((Path!$D$6-Path!$D$3)*N50/Path!$E$6+Path!$D$3)/2</f>
        <v>289.6381330948617</v>
      </c>
      <c r="T50" s="68">
        <f t="shared" si="26"/>
        <v>-289.6381330948617</v>
      </c>
      <c r="U50" s="52">
        <f>IF(B51&gt;0,K50,"")</f>
        <v>106.75052112708343</v>
      </c>
    </row>
    <row r="51" spans="1:32" x14ac:dyDescent="0.2">
      <c r="B51" s="47">
        <f t="shared" si="27"/>
        <v>9</v>
      </c>
      <c r="C51" s="79">
        <f>Panels!C8</f>
        <v>1.91</v>
      </c>
      <c r="D51" s="80">
        <f>(D48+D54)/2</f>
        <v>110.91991592087084</v>
      </c>
      <c r="E51" s="81"/>
      <c r="F51" s="80">
        <f>IF(TH!$H$13="x",C51,0)</f>
        <v>1.91</v>
      </c>
      <c r="G51" s="80">
        <f>IF(TH!$H$13="x",D51,0)</f>
        <v>110.91991592087084</v>
      </c>
      <c r="H51" s="80"/>
      <c r="I51" s="80"/>
      <c r="J51" s="80">
        <f>J50</f>
        <v>11.243786934796804</v>
      </c>
      <c r="K51" s="80">
        <f>K50</f>
        <v>106.75052112708343</v>
      </c>
      <c r="L51" s="81"/>
      <c r="M51" s="80">
        <f t="shared" si="30"/>
        <v>4.3161725630306407</v>
      </c>
      <c r="N51" s="80">
        <f t="shared" si="30"/>
        <v>121.62555043037295</v>
      </c>
      <c r="O51" s="87">
        <f t="shared" si="30"/>
        <v>643.73781056677853</v>
      </c>
      <c r="P51" s="68">
        <f t="shared" si="23"/>
        <v>321.86890528338927</v>
      </c>
      <c r="Q51" s="68">
        <f t="shared" si="24"/>
        <v>-321.86890528338927</v>
      </c>
      <c r="R51" s="52">
        <f t="shared" si="25"/>
        <v>64.461544377055134</v>
      </c>
      <c r="S51" s="68">
        <f>((Path!$D$6-Path!$D$3)*N51/Path!$E$6+Path!$D$3)/2</f>
        <v>289.6381330948617</v>
      </c>
      <c r="T51" s="68">
        <f t="shared" si="26"/>
        <v>-289.6381330948617</v>
      </c>
      <c r="U51" s="52">
        <f>IF(B51&gt;0,K51,"")</f>
        <v>106.75052112708343</v>
      </c>
    </row>
    <row r="52" spans="1:32" x14ac:dyDescent="0.2">
      <c r="B52" s="9"/>
      <c r="C52" s="79"/>
      <c r="D52" s="80"/>
      <c r="E52" s="81"/>
      <c r="F52" s="97"/>
      <c r="G52" s="97"/>
      <c r="H52" s="97"/>
      <c r="I52" s="97"/>
      <c r="J52" s="80">
        <f>J51</f>
        <v>11.243786934796804</v>
      </c>
      <c r="K52" s="80">
        <f>K51</f>
        <v>106.75052112708343</v>
      </c>
      <c r="L52" s="81"/>
      <c r="M52" s="80">
        <f>((H50-H47)^2+(I50-I47)^2)^0.5</f>
        <v>6.5143918962137368</v>
      </c>
      <c r="N52" s="80">
        <f>N49+M52</f>
        <v>128.13994232658669</v>
      </c>
      <c r="O52" s="87">
        <f>((C50-C51)^2+(D50-D51)^2)^0.5*Path!$H$17</f>
        <v>665.70170228762584</v>
      </c>
      <c r="P52" s="68">
        <f t="shared" si="23"/>
        <v>332.85085114381292</v>
      </c>
      <c r="Q52" s="68">
        <f t="shared" si="24"/>
        <v>-332.85085114381292</v>
      </c>
      <c r="R52" s="52">
        <f t="shared" si="25"/>
        <v>69.324585337540611</v>
      </c>
      <c r="S52" s="68">
        <f>((Path!$D$6-Path!$D$3)*N52/Path!$E$6+Path!$D$3)/2</f>
        <v>298.18855847504261</v>
      </c>
      <c r="T52" s="68">
        <f t="shared" si="26"/>
        <v>-298.18855847504261</v>
      </c>
      <c r="U52" s="52">
        <f>IF(B51&gt;0,K52,"")</f>
        <v>106.75052112708343</v>
      </c>
    </row>
    <row r="53" spans="1:32" x14ac:dyDescent="0.2">
      <c r="B53" s="9"/>
      <c r="C53" s="75">
        <f>C50</f>
        <v>20.577573869593607</v>
      </c>
      <c r="D53" s="76">
        <f>D50</f>
        <v>102.58112633329603</v>
      </c>
      <c r="E53" s="77"/>
      <c r="F53" s="76">
        <f>IF(TH!$H$13="x",C53,0)</f>
        <v>20.577573869593607</v>
      </c>
      <c r="G53" s="76">
        <f>IF(TH!$H$13="x",D53,0)</f>
        <v>102.58112633329603</v>
      </c>
      <c r="H53" s="76">
        <f>SUM(C53:C54)/2</f>
        <v>11.243786934796804</v>
      </c>
      <c r="I53" s="76">
        <f>SUM(D53:D54)/2</f>
        <v>102.20547908751885</v>
      </c>
      <c r="J53" s="76">
        <f>IF(TH!$H$12="x",H53,0)</f>
        <v>11.243786934796804</v>
      </c>
      <c r="K53" s="76">
        <f>IF(TH!$H$12="x",I53,0)</f>
        <v>102.20547908751885</v>
      </c>
      <c r="L53" s="77"/>
      <c r="M53" s="76">
        <f t="shared" ref="M53:O54" si="31">M52</f>
        <v>6.5143918962137368</v>
      </c>
      <c r="N53" s="76">
        <f t="shared" si="31"/>
        <v>128.13994232658669</v>
      </c>
      <c r="O53" s="89">
        <f t="shared" si="31"/>
        <v>665.70170228762584</v>
      </c>
      <c r="P53" s="68">
        <f t="shared" si="23"/>
        <v>332.85085114381292</v>
      </c>
      <c r="Q53" s="68">
        <f t="shared" si="24"/>
        <v>-332.85085114381292</v>
      </c>
      <c r="R53" s="52">
        <f t="shared" si="25"/>
        <v>69.324585337540611</v>
      </c>
      <c r="S53" s="68">
        <f>((Path!$D$6-Path!$D$3)*N53/Path!$E$6+Path!$D$3)/2</f>
        <v>298.18855847504261</v>
      </c>
      <c r="T53" s="68">
        <f t="shared" si="26"/>
        <v>-298.18855847504261</v>
      </c>
      <c r="U53" s="52">
        <f>IF(B54&gt;0,K53,"")</f>
        <v>102.20547908751885</v>
      </c>
    </row>
    <row r="54" spans="1:32" x14ac:dyDescent="0.2">
      <c r="B54" s="47">
        <f t="shared" ref="B54" si="32">B51+1</f>
        <v>10</v>
      </c>
      <c r="C54" s="79">
        <f>C51</f>
        <v>1.91</v>
      </c>
      <c r="D54" s="80">
        <f>D50-(C50-C51)*E24</f>
        <v>101.82983184174167</v>
      </c>
      <c r="E54" s="81"/>
      <c r="F54" s="80">
        <f>IF(TH!$H$13="x",C54,0)</f>
        <v>1.91</v>
      </c>
      <c r="G54" s="80">
        <f>IF(TH!$H$13="x",D54,0)</f>
        <v>101.82983184174167</v>
      </c>
      <c r="H54" s="80"/>
      <c r="I54" s="80"/>
      <c r="J54" s="80">
        <f>J53</f>
        <v>11.243786934796804</v>
      </c>
      <c r="K54" s="80">
        <f>K53</f>
        <v>102.20547908751885</v>
      </c>
      <c r="L54" s="81"/>
      <c r="M54" s="80">
        <f t="shared" si="31"/>
        <v>6.5143918962137368</v>
      </c>
      <c r="N54" s="80">
        <f t="shared" si="31"/>
        <v>128.13994232658669</v>
      </c>
      <c r="O54" s="87">
        <f t="shared" si="31"/>
        <v>665.70170228762584</v>
      </c>
      <c r="P54" s="68">
        <f t="shared" si="23"/>
        <v>332.85085114381292</v>
      </c>
      <c r="Q54" s="68">
        <f t="shared" si="24"/>
        <v>-332.85085114381292</v>
      </c>
      <c r="R54" s="52">
        <f t="shared" si="25"/>
        <v>69.324585337540611</v>
      </c>
      <c r="S54" s="68">
        <f>((Path!$D$6-Path!$D$3)*N54/Path!$E$6+Path!$D$3)/2</f>
        <v>298.18855847504261</v>
      </c>
      <c r="T54" s="68">
        <f t="shared" si="26"/>
        <v>-298.18855847504261</v>
      </c>
      <c r="U54" s="52">
        <f>IF(B54&gt;0,K54,"")</f>
        <v>102.20547908751885</v>
      </c>
    </row>
    <row r="55" spans="1:32" x14ac:dyDescent="0.2">
      <c r="B55" s="9"/>
      <c r="C55" s="96"/>
      <c r="D55" s="97"/>
      <c r="E55" s="97"/>
      <c r="F55" s="97"/>
      <c r="G55" s="97"/>
      <c r="H55" s="97"/>
      <c r="I55" s="97"/>
      <c r="J55" s="93">
        <f>J54</f>
        <v>11.243786934796804</v>
      </c>
      <c r="K55" s="93">
        <f>K54</f>
        <v>102.20547908751885</v>
      </c>
      <c r="L55" s="97"/>
      <c r="M55" s="93">
        <f>((H53-H50)^2+(I53-I50)^2)^0.5</f>
        <v>4.5450420395645779</v>
      </c>
      <c r="N55" s="93">
        <f>N52+M55</f>
        <v>132.68498436615127</v>
      </c>
      <c r="O55" s="98">
        <f>((C53-C54)^2+(D53-D54)^2)^0.5*Path!$H$17</f>
        <v>608.30825739317913</v>
      </c>
      <c r="P55" s="68">
        <f t="shared" si="23"/>
        <v>304.15412869658957</v>
      </c>
      <c r="Q55" s="68">
        <f t="shared" si="24"/>
        <v>-304.15412869658957</v>
      </c>
      <c r="R55" s="52">
        <f t="shared" si="25"/>
        <v>5.9862709349545185E-6</v>
      </c>
      <c r="S55" s="68">
        <f>((Path!$D$6-Path!$D$3)*N55/Path!$E$6+Path!$D$3)/2</f>
        <v>304.1541257034541</v>
      </c>
      <c r="T55" s="68">
        <f t="shared" si="26"/>
        <v>-304.1541257034541</v>
      </c>
      <c r="U55" s="52">
        <f>IF(B54&gt;0,K55,"")</f>
        <v>102.20547908751885</v>
      </c>
    </row>
    <row r="56" spans="1:32" x14ac:dyDescent="0.2">
      <c r="B56" s="9"/>
      <c r="C56" s="79">
        <f>Panels!C8</f>
        <v>1.91</v>
      </c>
      <c r="D56" s="80">
        <f>D59</f>
        <v>28.489029495448079</v>
      </c>
      <c r="E56" s="81"/>
      <c r="F56" s="76">
        <f>IF(TH!$H$13="x",C56,0)</f>
        <v>1.91</v>
      </c>
      <c r="G56" s="76">
        <f>IF(TH!$H$13="x",D56,0)</f>
        <v>28.489029495448079</v>
      </c>
      <c r="H56" s="76">
        <f>SUM(C56:C57)/2</f>
        <v>14.190684967886741</v>
      </c>
      <c r="I56" s="76">
        <f>SUM(D56:D57)/2</f>
        <v>28.98327749110841</v>
      </c>
      <c r="J56" s="80">
        <f>IF(TH!$H$12="x",H56,0)</f>
        <v>14.190684967886741</v>
      </c>
      <c r="K56" s="80">
        <f>IF(TH!$H$12="x",I56,0)</f>
        <v>28.98327749110841</v>
      </c>
      <c r="L56" s="81"/>
      <c r="M56" s="80">
        <f t="shared" ref="M56:O57" si="33">M55</f>
        <v>4.5450420395645779</v>
      </c>
      <c r="N56" s="76">
        <f t="shared" si="33"/>
        <v>132.68498436615127</v>
      </c>
      <c r="O56" s="89">
        <f t="shared" si="33"/>
        <v>608.30825739317913</v>
      </c>
      <c r="P56" s="68">
        <f t="shared" si="23"/>
        <v>304.15412869658957</v>
      </c>
      <c r="Q56" s="68">
        <f t="shared" si="24"/>
        <v>-304.15412869658957</v>
      </c>
      <c r="R56" s="52">
        <f t="shared" si="25"/>
        <v>5.9862709349545185E-6</v>
      </c>
      <c r="S56" s="68">
        <f>((Path!$D$6-Path!$D$3)*N56/Path!$E$6+Path!$D$3)/2</f>
        <v>304.1541257034541</v>
      </c>
      <c r="T56" s="68">
        <f t="shared" si="26"/>
        <v>-304.1541257034541</v>
      </c>
      <c r="U56" s="52">
        <f>IF(B57&gt;0,K56,"")</f>
        <v>28.98327749110841</v>
      </c>
      <c r="X56" s="9"/>
      <c r="Y56" s="52">
        <f>Panels!C36</f>
        <v>28.693933139046244</v>
      </c>
      <c r="Z56" s="52">
        <f>Panels!D36</f>
        <v>1.91</v>
      </c>
      <c r="AA56" s="52">
        <f>Panels!C37</f>
        <v>20.577573869593607</v>
      </c>
      <c r="AB56" s="52">
        <f>Panels!D37</f>
        <v>102.58112633329603</v>
      </c>
      <c r="AC56" s="67">
        <f>(AB56-Z56)/(AA56-Y56)</f>
        <v>-12.403483260307333</v>
      </c>
      <c r="AD56" s="67">
        <f>(AB56*Y56-Z56*AA56)/(Y56-AA56)</f>
        <v>357.81471936253791</v>
      </c>
    </row>
    <row r="57" spans="1:32" x14ac:dyDescent="0.2">
      <c r="A57" s="9"/>
      <c r="B57" s="47">
        <f t="shared" si="27"/>
        <v>11</v>
      </c>
      <c r="C57" s="79">
        <f>AE57</f>
        <v>26.471369935773481</v>
      </c>
      <c r="D57" s="80">
        <f>AF57</f>
        <v>29.477525486768744</v>
      </c>
      <c r="E57" s="81"/>
      <c r="F57" s="80">
        <f>IF(TH!$H$13="x",C57,0)</f>
        <v>26.471369935773481</v>
      </c>
      <c r="G57" s="80">
        <f>IF(TH!$H$13="x",D57,0)</f>
        <v>29.477525486768744</v>
      </c>
      <c r="H57" s="80"/>
      <c r="I57" s="80"/>
      <c r="J57" s="80">
        <f>J56</f>
        <v>14.190684967886741</v>
      </c>
      <c r="K57" s="80">
        <f>K56</f>
        <v>28.98327749110841</v>
      </c>
      <c r="L57" s="81"/>
      <c r="M57" s="80">
        <f t="shared" si="33"/>
        <v>4.5450420395645779</v>
      </c>
      <c r="N57" s="80">
        <f t="shared" si="33"/>
        <v>132.68498436615127</v>
      </c>
      <c r="O57" s="87">
        <f t="shared" si="33"/>
        <v>608.30825739317913</v>
      </c>
      <c r="P57" s="68">
        <f t="shared" si="23"/>
        <v>304.15412869658957</v>
      </c>
      <c r="Q57" s="68">
        <f t="shared" si="24"/>
        <v>-304.15412869658957</v>
      </c>
      <c r="R57" s="52">
        <f t="shared" si="25"/>
        <v>5.9862709349545185E-6</v>
      </c>
      <c r="S57" s="68">
        <f>((Path!$D$6-Path!$D$3)*N57/Path!$E$6+Path!$D$3)/2</f>
        <v>304.1541257034541</v>
      </c>
      <c r="T57" s="68">
        <f t="shared" si="26"/>
        <v>-304.1541257034541</v>
      </c>
      <c r="U57" s="52">
        <f>IF(B57&gt;0,K57,"")</f>
        <v>28.98327749110841</v>
      </c>
      <c r="X57" s="9"/>
      <c r="Y57" s="52">
        <f>C56</f>
        <v>1.91</v>
      </c>
      <c r="Z57" s="52">
        <f>D56</f>
        <v>28.489029495448079</v>
      </c>
      <c r="AA57" s="52">
        <f>Y57+10*E22</f>
        <v>11.901911137269124</v>
      </c>
      <c r="AB57" s="52">
        <f>Z57+10*E23</f>
        <v>28.891163583678928</v>
      </c>
      <c r="AC57" s="67">
        <f>(AB57-Z57)/(AA57-Y57)</f>
        <v>4.0245963230289034E-2</v>
      </c>
      <c r="AD57" s="67">
        <f>(AB57*Y57-Z57*AA57)/(Y57-AA57)</f>
        <v>28.412159705678228</v>
      </c>
      <c r="AE57" s="52">
        <f>(AD56-AD57)/(AC57-AC56)</f>
        <v>26.471369935773481</v>
      </c>
      <c r="AF57" s="52">
        <f>AE57*AC57+AD57</f>
        <v>29.477525486768744</v>
      </c>
    </row>
    <row r="58" spans="1:32" x14ac:dyDescent="0.2">
      <c r="B58" s="9"/>
      <c r="C58" s="95"/>
      <c r="D58" s="81"/>
      <c r="E58" s="81"/>
      <c r="F58" s="97"/>
      <c r="G58" s="97"/>
      <c r="H58" s="97"/>
      <c r="I58" s="97"/>
      <c r="J58" s="80">
        <f>J57</f>
        <v>14.190684967886741</v>
      </c>
      <c r="K58" s="80">
        <f>K57</f>
        <v>28.98327749110841</v>
      </c>
      <c r="L58" s="81"/>
      <c r="M58" s="80">
        <f>((H56-H53)^2+(I56-I53)^2)^0.5</f>
        <v>73.281477978018444</v>
      </c>
      <c r="N58" s="80">
        <f>N55+M58</f>
        <v>205.96646234416971</v>
      </c>
      <c r="O58" s="87">
        <f>((C56-C57)^2+(D56-D57)^2)^0.5*Path!$H$17</f>
        <v>800.36560986405505</v>
      </c>
      <c r="P58" s="68">
        <f t="shared" si="23"/>
        <v>400.18280493202752</v>
      </c>
      <c r="Q58" s="68">
        <f t="shared" si="24"/>
        <v>-400.18280493202752</v>
      </c>
      <c r="R58" s="52">
        <f t="shared" si="25"/>
        <v>-0.31295612727285516</v>
      </c>
      <c r="S58" s="68">
        <f>((Path!$D$6-Path!$D$3)*N58/Path!$E$6+Path!$D$3)/2</f>
        <v>400.33928299566395</v>
      </c>
      <c r="T58" s="68">
        <f t="shared" si="26"/>
        <v>-400.33928299566395</v>
      </c>
      <c r="U58" s="52">
        <f>IF(B57&gt;0,K58,"")</f>
        <v>28.98327749110841</v>
      </c>
    </row>
    <row r="59" spans="1:32" x14ac:dyDescent="0.2">
      <c r="B59" s="9"/>
      <c r="C59" s="75">
        <f>C56</f>
        <v>1.91</v>
      </c>
      <c r="D59" s="76">
        <f>Panels!D8</f>
        <v>28.489029495448079</v>
      </c>
      <c r="E59" s="77"/>
      <c r="F59" s="76">
        <f>IF(TH!$H$13="x",C59,0)</f>
        <v>1.91</v>
      </c>
      <c r="G59" s="76">
        <f>IF(TH!$H$13="x",D59,0)</f>
        <v>28.489029495448079</v>
      </c>
      <c r="H59" s="76">
        <f>SUM(C59:C60)/2</f>
        <v>14.746325768704931</v>
      </c>
      <c r="I59" s="76">
        <f>SUM(D59:D60)/2</f>
        <v>22.091396119416224</v>
      </c>
      <c r="J59" s="76">
        <f>IF(TH!$H$12="x",H59,0)</f>
        <v>14.746325768704931</v>
      </c>
      <c r="K59" s="76">
        <f>IF(TH!$H$12="x",I59,0)</f>
        <v>22.091396119416224</v>
      </c>
      <c r="L59" s="77"/>
      <c r="M59" s="76">
        <f t="shared" ref="M59:O60" si="34">M58</f>
        <v>73.281477978018444</v>
      </c>
      <c r="N59" s="76">
        <f t="shared" si="34"/>
        <v>205.96646234416971</v>
      </c>
      <c r="O59" s="89">
        <f t="shared" si="34"/>
        <v>800.36560986405505</v>
      </c>
      <c r="P59" s="68">
        <f t="shared" si="23"/>
        <v>400.18280493202752</v>
      </c>
      <c r="Q59" s="68">
        <f t="shared" si="24"/>
        <v>-400.18280493202752</v>
      </c>
      <c r="R59" s="52">
        <f t="shared" si="25"/>
        <v>-0.31295612727285516</v>
      </c>
      <c r="S59" s="68">
        <f>((Path!$D$6-Path!$D$3)*N59/Path!$E$6+Path!$D$3)/2</f>
        <v>400.33928299566395</v>
      </c>
      <c r="T59" s="68">
        <f t="shared" si="26"/>
        <v>-400.33928299566395</v>
      </c>
      <c r="U59" s="52">
        <f>IF(B60&gt;0,K59,"")</f>
        <v>22.091396119416224</v>
      </c>
    </row>
    <row r="60" spans="1:32" x14ac:dyDescent="0.2">
      <c r="B60" s="47">
        <f t="shared" ref="B60" si="35">B57+1</f>
        <v>12</v>
      </c>
      <c r="C60" s="79">
        <f>(C57+Panels!C36)/2</f>
        <v>27.582651537409863</v>
      </c>
      <c r="D60" s="80">
        <f>(D57+Panels!D36)/2</f>
        <v>15.693762743384372</v>
      </c>
      <c r="E60" s="81"/>
      <c r="F60" s="80">
        <f>IF(TH!$H$13="x",C60,0)</f>
        <v>27.582651537409863</v>
      </c>
      <c r="G60" s="80">
        <f>IF(TH!$H$13="x",D60,0)</f>
        <v>15.693762743384372</v>
      </c>
      <c r="H60" s="80"/>
      <c r="I60" s="80"/>
      <c r="J60" s="80">
        <f>J59</f>
        <v>14.746325768704931</v>
      </c>
      <c r="K60" s="80">
        <f>K59</f>
        <v>22.091396119416224</v>
      </c>
      <c r="L60" s="81"/>
      <c r="M60" s="80">
        <f t="shared" si="34"/>
        <v>73.281477978018444</v>
      </c>
      <c r="N60" s="80">
        <f t="shared" si="34"/>
        <v>205.96646234416971</v>
      </c>
      <c r="O60" s="87">
        <f t="shared" si="34"/>
        <v>800.36560986405505</v>
      </c>
      <c r="P60" s="68">
        <f t="shared" si="23"/>
        <v>400.18280493202752</v>
      </c>
      <c r="Q60" s="68">
        <f t="shared" si="24"/>
        <v>-400.18280493202752</v>
      </c>
      <c r="R60" s="52">
        <f t="shared" si="25"/>
        <v>-0.31295612727285516</v>
      </c>
      <c r="S60" s="68">
        <f>((Path!$D$6-Path!$D$3)*N60/Path!$E$6+Path!$D$3)/2</f>
        <v>400.33928299566395</v>
      </c>
      <c r="T60" s="68">
        <f t="shared" si="26"/>
        <v>-400.33928299566395</v>
      </c>
      <c r="U60" s="52">
        <f>IF(B60&gt;0,K60,"")</f>
        <v>22.091396119416224</v>
      </c>
    </row>
    <row r="61" spans="1:32" x14ac:dyDescent="0.2">
      <c r="B61" s="9"/>
      <c r="C61" s="96"/>
      <c r="D61" s="97"/>
      <c r="E61" s="97"/>
      <c r="F61" s="97"/>
      <c r="G61" s="97"/>
      <c r="H61" s="97"/>
      <c r="I61" s="97"/>
      <c r="J61" s="93">
        <f>J60</f>
        <v>14.746325768704931</v>
      </c>
      <c r="K61" s="93">
        <f>K60</f>
        <v>22.091396119416224</v>
      </c>
      <c r="L61" s="97"/>
      <c r="M61" s="93">
        <f>((H59-H56)^2+(I59-I56)^2)^0.5</f>
        <v>6.914243670931163</v>
      </c>
      <c r="N61" s="93">
        <f>N58+M61</f>
        <v>212.88070601510088</v>
      </c>
      <c r="O61" s="98">
        <f>((C59-C60)^2+(D59-D60)^2)^0.5*Path!$H$17</f>
        <v>933.96922015023324</v>
      </c>
      <c r="P61" s="68">
        <f t="shared" si="23"/>
        <v>466.98461007511662</v>
      </c>
      <c r="Q61" s="68">
        <f t="shared" si="24"/>
        <v>-466.98461007511662</v>
      </c>
      <c r="R61" s="52">
        <f t="shared" si="25"/>
        <v>115.14015737867749</v>
      </c>
      <c r="S61" s="68">
        <f>((Path!$D$6-Path!$D$3)*N61/Path!$E$6+Path!$D$3)/2</f>
        <v>409.41453138577788</v>
      </c>
      <c r="T61" s="68">
        <f t="shared" si="26"/>
        <v>-409.41453138577788</v>
      </c>
      <c r="U61" s="52">
        <f>IF(B60&gt;0,K61,"")</f>
        <v>22.091396119416224</v>
      </c>
    </row>
    <row r="62" spans="1:32" x14ac:dyDescent="0.2">
      <c r="B62" s="9"/>
      <c r="C62" s="79">
        <f>C59</f>
        <v>1.91</v>
      </c>
      <c r="D62" s="80">
        <f>D59</f>
        <v>28.489029495448079</v>
      </c>
      <c r="E62" s="81"/>
      <c r="F62" s="76">
        <f>IF(TH!$H$13="x",C62,0)</f>
        <v>1.91</v>
      </c>
      <c r="G62" s="76">
        <f>IF(TH!$H$13="x",D62,0)</f>
        <v>28.489029495448079</v>
      </c>
      <c r="H62" s="76">
        <f>SUM(C62:C63)/2</f>
        <v>8.3281628843524658</v>
      </c>
      <c r="I62" s="76">
        <f>SUM(D62:D63)/2</f>
        <v>15.19951474772404</v>
      </c>
      <c r="J62" s="80">
        <f>IF(TH!$H$12="x",H62,0)</f>
        <v>8.3281628843524658</v>
      </c>
      <c r="K62" s="80">
        <f>IF(TH!$H$12="x",I62,0)</f>
        <v>15.19951474772404</v>
      </c>
      <c r="L62" s="81"/>
      <c r="M62" s="80">
        <f>M58</f>
        <v>73.281477978018444</v>
      </c>
      <c r="N62" s="80">
        <f>N61</f>
        <v>212.88070601510088</v>
      </c>
      <c r="O62" s="89">
        <f>O61</f>
        <v>933.96922015023324</v>
      </c>
      <c r="P62" s="68">
        <f t="shared" si="23"/>
        <v>466.98461007511662</v>
      </c>
      <c r="Q62" s="68">
        <f t="shared" si="24"/>
        <v>-466.98461007511662</v>
      </c>
      <c r="R62" s="52">
        <f t="shared" si="25"/>
        <v>115.14015737867749</v>
      </c>
      <c r="S62" s="68">
        <f>((Path!$D$6-Path!$D$3)*N62/Path!$E$6+Path!$D$3)/2</f>
        <v>409.41453138577788</v>
      </c>
      <c r="T62" s="68">
        <f t="shared" si="26"/>
        <v>-409.41453138577788</v>
      </c>
      <c r="U62" s="52">
        <f>IF(B63&gt;0,K62,"")</f>
        <v>15.19951474772404</v>
      </c>
    </row>
    <row r="63" spans="1:32" x14ac:dyDescent="0.2">
      <c r="B63" s="47">
        <f t="shared" si="27"/>
        <v>13</v>
      </c>
      <c r="C63" s="79">
        <f>(C60+C69)/2</f>
        <v>14.746325768704931</v>
      </c>
      <c r="D63" s="80">
        <f>Panels!D24</f>
        <v>1.91</v>
      </c>
      <c r="E63" s="81"/>
      <c r="F63" s="80">
        <f>IF(TH!$H$13="x",C63,0)</f>
        <v>14.746325768704931</v>
      </c>
      <c r="G63" s="80">
        <f>IF(TH!$H$13="x",D63,0)</f>
        <v>1.91</v>
      </c>
      <c r="H63" s="80"/>
      <c r="I63" s="80"/>
      <c r="J63" s="80">
        <f>J62</f>
        <v>8.3281628843524658</v>
      </c>
      <c r="K63" s="80">
        <f>K62</f>
        <v>15.19951474772404</v>
      </c>
      <c r="L63" s="81"/>
      <c r="M63" s="80">
        <f>M62</f>
        <v>73.281477978018444</v>
      </c>
      <c r="N63" s="80">
        <f>N62</f>
        <v>212.88070601510088</v>
      </c>
      <c r="O63" s="87">
        <f>O62</f>
        <v>933.96922015023324</v>
      </c>
      <c r="P63" s="68">
        <f t="shared" si="23"/>
        <v>466.98461007511662</v>
      </c>
      <c r="Q63" s="68">
        <f t="shared" si="24"/>
        <v>-466.98461007511662</v>
      </c>
      <c r="R63" s="52">
        <f t="shared" si="25"/>
        <v>115.14015737867749</v>
      </c>
      <c r="S63" s="68">
        <f>((Path!$D$6-Path!$D$3)*N63/Path!$E$6+Path!$D$3)/2</f>
        <v>409.41453138577788</v>
      </c>
      <c r="T63" s="68">
        <f t="shared" si="26"/>
        <v>-409.41453138577788</v>
      </c>
      <c r="U63" s="52">
        <f>IF(B63&gt;0,K63,"")</f>
        <v>15.19951474772404</v>
      </c>
    </row>
    <row r="64" spans="1:32" x14ac:dyDescent="0.2">
      <c r="B64" s="9"/>
      <c r="C64" s="95"/>
      <c r="D64" s="81"/>
      <c r="E64" s="81"/>
      <c r="F64" s="97"/>
      <c r="G64" s="97"/>
      <c r="H64" s="97"/>
      <c r="I64" s="97"/>
      <c r="J64" s="80">
        <f>J63</f>
        <v>8.3281628843524658</v>
      </c>
      <c r="K64" s="80">
        <f>K63</f>
        <v>15.19951474772404</v>
      </c>
      <c r="L64" s="81"/>
      <c r="M64" s="80">
        <f>((H62-H59)^2+(I62-I59)^2)^0.5</f>
        <v>9.4175816243639368</v>
      </c>
      <c r="N64" s="80">
        <f>N61+M64</f>
        <v>222.29828763946483</v>
      </c>
      <c r="O64" s="87">
        <f>((C62-C63)^2+(D62-D63)^2)^0.5*Path!$H$17</f>
        <v>961.05299075435994</v>
      </c>
      <c r="P64" s="68">
        <f t="shared" si="23"/>
        <v>480.52649537717997</v>
      </c>
      <c r="Q64" s="68">
        <f t="shared" si="24"/>
        <v>-480.52649537717997</v>
      </c>
      <c r="R64" s="52">
        <f t="shared" si="25"/>
        <v>117.50194925515382</v>
      </c>
      <c r="S64" s="68">
        <f>((Path!$D$6-Path!$D$3)*N64/Path!$E$6+Path!$D$3)/2</f>
        <v>421.77552074960306</v>
      </c>
      <c r="T64" s="68">
        <f t="shared" si="26"/>
        <v>-421.77552074960306</v>
      </c>
      <c r="U64" s="52">
        <f>IF(B63&gt;0,K64,"")</f>
        <v>15.19951474772404</v>
      </c>
    </row>
    <row r="65" spans="1:21" x14ac:dyDescent="0.2">
      <c r="B65" s="9"/>
      <c r="C65" s="75">
        <f>C62</f>
        <v>1.91</v>
      </c>
      <c r="D65" s="76">
        <f>D62</f>
        <v>28.489029495448079</v>
      </c>
      <c r="E65" s="77"/>
      <c r="F65" s="76">
        <f>IF(TH!$H$13="x",C65,0)</f>
        <v>1.91</v>
      </c>
      <c r="G65" s="76">
        <f>IF(TH!$H$13="x",D65,0)</f>
        <v>28.489029495448079</v>
      </c>
      <c r="H65" s="76">
        <f>SUM(C65:C66)/2</f>
        <v>2.4448493218852843</v>
      </c>
      <c r="I65" s="76">
        <f>SUM(D65:D66)/2</f>
        <v>15.19951474772404</v>
      </c>
      <c r="J65" s="76">
        <f>IF(TH!$H$12="x",H65,0)</f>
        <v>2.4448493218852843</v>
      </c>
      <c r="K65" s="76">
        <f>IF(TH!$H$12="x",I65,0)</f>
        <v>15.19951474772404</v>
      </c>
      <c r="L65" s="77"/>
      <c r="M65" s="76">
        <f t="shared" ref="M65:O66" si="36">M64</f>
        <v>9.4175816243639368</v>
      </c>
      <c r="N65" s="76">
        <f t="shared" si="36"/>
        <v>222.29828763946483</v>
      </c>
      <c r="O65" s="89">
        <f t="shared" si="36"/>
        <v>961.05299075435994</v>
      </c>
      <c r="P65" s="68">
        <f t="shared" si="23"/>
        <v>480.52649537717997</v>
      </c>
      <c r="Q65" s="68">
        <f t="shared" si="24"/>
        <v>-480.52649537717997</v>
      </c>
      <c r="R65" s="52">
        <f t="shared" si="25"/>
        <v>117.50194925515382</v>
      </c>
      <c r="S65" s="68">
        <f>((Path!$D$6-Path!$D$3)*N65/Path!$E$6+Path!$D$3)/2</f>
        <v>421.77552074960306</v>
      </c>
      <c r="T65" s="68">
        <f t="shared" si="26"/>
        <v>-421.77552074960306</v>
      </c>
      <c r="U65" s="52">
        <f>IF(B66&gt;0,K65,"")</f>
        <v>15.19951474772404</v>
      </c>
    </row>
    <row r="66" spans="1:21" x14ac:dyDescent="0.2">
      <c r="B66" s="47">
        <f t="shared" ref="B66" si="37">B63+1</f>
        <v>14</v>
      </c>
      <c r="C66" s="79">
        <f>C62+(D62-D63)*E24</f>
        <v>2.9796986437705684</v>
      </c>
      <c r="D66" s="80">
        <f>D63</f>
        <v>1.91</v>
      </c>
      <c r="E66" s="81"/>
      <c r="F66" s="80">
        <f>IF(TH!$H$13="x",C66,0)</f>
        <v>2.9796986437705684</v>
      </c>
      <c r="G66" s="80">
        <f>IF(TH!$H$13="x",D66,0)</f>
        <v>1.91</v>
      </c>
      <c r="H66" s="80"/>
      <c r="I66" s="80"/>
      <c r="J66" s="80">
        <f>J65</f>
        <v>2.4448493218852843</v>
      </c>
      <c r="K66" s="80">
        <f>K65</f>
        <v>15.19951474772404</v>
      </c>
      <c r="L66" s="81"/>
      <c r="M66" s="80">
        <f t="shared" si="36"/>
        <v>9.4175816243639368</v>
      </c>
      <c r="N66" s="80">
        <f t="shared" si="36"/>
        <v>222.29828763946483</v>
      </c>
      <c r="O66" s="87">
        <f t="shared" si="36"/>
        <v>961.05299075435994</v>
      </c>
      <c r="P66" s="68">
        <f t="shared" si="23"/>
        <v>480.52649537717997</v>
      </c>
      <c r="Q66" s="68">
        <f t="shared" si="24"/>
        <v>-480.52649537717997</v>
      </c>
      <c r="R66" s="52">
        <f t="shared" si="25"/>
        <v>117.50194925515382</v>
      </c>
      <c r="S66" s="68">
        <f>((Path!$D$6-Path!$D$3)*N66/Path!$E$6+Path!$D$3)/2</f>
        <v>421.77552074960306</v>
      </c>
      <c r="T66" s="68">
        <f t="shared" si="26"/>
        <v>-421.77552074960306</v>
      </c>
      <c r="U66" s="52">
        <f>IF(B66&gt;0,K66,"")</f>
        <v>15.19951474772404</v>
      </c>
    </row>
    <row r="67" spans="1:21" x14ac:dyDescent="0.2">
      <c r="B67" s="9"/>
      <c r="C67" s="96"/>
      <c r="D67" s="97"/>
      <c r="E67" s="97"/>
      <c r="F67" s="97"/>
      <c r="G67" s="97"/>
      <c r="H67" s="97"/>
      <c r="I67" s="97"/>
      <c r="J67" s="93">
        <f>J66</f>
        <v>2.4448493218852843</v>
      </c>
      <c r="K67" s="93">
        <f>K66</f>
        <v>15.19951474772404</v>
      </c>
      <c r="L67" s="97"/>
      <c r="M67" s="93">
        <f>((H65-H62)^2+(I65-I62)^2)^0.5</f>
        <v>5.8833135624671815</v>
      </c>
      <c r="N67" s="93">
        <f>N64+M67</f>
        <v>228.18160120193201</v>
      </c>
      <c r="O67" s="98">
        <f>((C65-C66)^2+(D65-D66)^2)^0.5*Path!$H$17</f>
        <v>866.11378792577466</v>
      </c>
      <c r="P67" s="68">
        <f t="shared" si="23"/>
        <v>433.05689396288733</v>
      </c>
      <c r="Q67" s="68">
        <f t="shared" si="24"/>
        <v>-433.05689396288733</v>
      </c>
      <c r="R67" s="52">
        <f t="shared" si="25"/>
        <v>7.1185317076722185</v>
      </c>
      <c r="S67" s="68">
        <f>((Path!$D$6-Path!$D$3)*N67/Path!$E$6+Path!$D$3)/2</f>
        <v>429.49762810905122</v>
      </c>
      <c r="T67" s="68">
        <f t="shared" si="26"/>
        <v>-429.49762810905122</v>
      </c>
      <c r="U67" s="52">
        <f>IF(B66&gt;0,K67,"")</f>
        <v>15.19951474772404</v>
      </c>
    </row>
    <row r="68" spans="1:21" x14ac:dyDescent="0.2">
      <c r="B68" s="9"/>
      <c r="C68" s="79">
        <f>C65</f>
        <v>1.91</v>
      </c>
      <c r="D68" s="80">
        <f>D65</f>
        <v>28.489029495448079</v>
      </c>
      <c r="E68" s="81"/>
      <c r="F68" s="76">
        <f>IF(TH!$H$13="x",C68,0)</f>
        <v>1.91</v>
      </c>
      <c r="G68" s="76">
        <f>IF(TH!$H$13="x",D68,0)</f>
        <v>28.489029495448079</v>
      </c>
      <c r="H68" s="76">
        <f>SUM(C68:C69)/2</f>
        <v>1.91</v>
      </c>
      <c r="I68" s="76">
        <f>SUM(D68:D69)/2</f>
        <v>15.19951474772404</v>
      </c>
      <c r="J68" s="80">
        <f>IF(TH!$H$12="x",H68,0)</f>
        <v>1.91</v>
      </c>
      <c r="K68" s="80">
        <f>IF(TH!$H$12="x",I68,0)</f>
        <v>15.19951474772404</v>
      </c>
      <c r="L68" s="81"/>
      <c r="M68" s="80">
        <f t="shared" ref="M68:O69" si="38">M67</f>
        <v>5.8833135624671815</v>
      </c>
      <c r="N68" s="80">
        <f t="shared" si="38"/>
        <v>228.18160120193201</v>
      </c>
      <c r="O68" s="89">
        <f t="shared" si="38"/>
        <v>866.11378792577466</v>
      </c>
      <c r="P68" s="68">
        <f t="shared" si="23"/>
        <v>433.05689396288733</v>
      </c>
      <c r="Q68" s="68">
        <f t="shared" si="24"/>
        <v>-433.05689396288733</v>
      </c>
      <c r="R68" s="52">
        <f t="shared" si="25"/>
        <v>7.1185317076722185</v>
      </c>
      <c r="S68" s="68">
        <f>((Path!$D$6-Path!$D$3)*N68/Path!$E$6+Path!$D$3)/2</f>
        <v>429.49762810905122</v>
      </c>
      <c r="T68" s="68">
        <f t="shared" si="26"/>
        <v>-429.49762810905122</v>
      </c>
      <c r="U68" s="52">
        <f>IF(B69&gt;0,K68,"")</f>
        <v>15.19951474772404</v>
      </c>
    </row>
    <row r="69" spans="1:21" x14ac:dyDescent="0.2">
      <c r="B69" s="47">
        <f t="shared" si="27"/>
        <v>15</v>
      </c>
      <c r="C69" s="79">
        <f>C68</f>
        <v>1.91</v>
      </c>
      <c r="D69" s="80">
        <f>D66</f>
        <v>1.91</v>
      </c>
      <c r="E69" s="81"/>
      <c r="F69" s="80">
        <f>IF(TH!$H$13="x",C69,0)</f>
        <v>1.91</v>
      </c>
      <c r="G69" s="80">
        <f>IF(TH!$H$13="x",D69,0)</f>
        <v>1.91</v>
      </c>
      <c r="H69" s="80"/>
      <c r="I69" s="80"/>
      <c r="J69" s="80">
        <f>J68</f>
        <v>1.91</v>
      </c>
      <c r="K69" s="80">
        <f>K68</f>
        <v>15.19951474772404</v>
      </c>
      <c r="L69" s="81"/>
      <c r="M69" s="80">
        <f t="shared" si="38"/>
        <v>5.8833135624671815</v>
      </c>
      <c r="N69" s="80">
        <f t="shared" si="38"/>
        <v>228.18160120193201</v>
      </c>
      <c r="O69" s="87">
        <f t="shared" si="38"/>
        <v>866.11378792577466</v>
      </c>
      <c r="P69" s="68">
        <f t="shared" si="23"/>
        <v>433.05689396288733</v>
      </c>
      <c r="Q69" s="68">
        <f t="shared" si="24"/>
        <v>-433.05689396288733</v>
      </c>
      <c r="R69" s="52">
        <f t="shared" si="25"/>
        <v>7.1185317076722185</v>
      </c>
      <c r="S69" s="68">
        <f>((Path!$D$6-Path!$D$3)*N69/Path!$E$6+Path!$D$3)/2</f>
        <v>429.49762810905122</v>
      </c>
      <c r="T69" s="68">
        <f t="shared" si="26"/>
        <v>-429.49762810905122</v>
      </c>
      <c r="U69" s="52">
        <f>IF(B69&gt;0,K69,"")</f>
        <v>15.19951474772404</v>
      </c>
    </row>
    <row r="70" spans="1:21" x14ac:dyDescent="0.2">
      <c r="B70" s="9"/>
      <c r="C70" s="95"/>
      <c r="D70" s="81"/>
      <c r="E70" s="81"/>
      <c r="F70" s="97"/>
      <c r="G70" s="97"/>
      <c r="H70" s="97"/>
      <c r="I70" s="97"/>
      <c r="J70" s="80">
        <f>J69</f>
        <v>1.91</v>
      </c>
      <c r="K70" s="80">
        <f>K69</f>
        <v>15.19951474772404</v>
      </c>
      <c r="L70" s="81"/>
      <c r="M70" s="80">
        <f>((H68-H65)^2+(I68-I65)^2)^0.5</f>
        <v>0.53484932188528433</v>
      </c>
      <c r="N70" s="80">
        <f>N67+M70</f>
        <v>228.71645052381729</v>
      </c>
      <c r="O70" s="87">
        <f>((C68-C69)^2+(D68-D69)^2)^0.5*Path!$H$17</f>
        <v>865.41320037178957</v>
      </c>
      <c r="P70" s="68">
        <f t="shared" si="23"/>
        <v>432.70660018589479</v>
      </c>
      <c r="Q70" s="68">
        <f t="shared" si="24"/>
        <v>-432.70660018589479</v>
      </c>
      <c r="R70" s="52">
        <f t="shared" si="25"/>
        <v>5.0139177182869616</v>
      </c>
      <c r="S70" s="68">
        <f>((Path!$D$6-Path!$D$3)*N70/Path!$E$6+Path!$D$3)/2</f>
        <v>430.1996413267513</v>
      </c>
      <c r="T70" s="68">
        <f t="shared" si="26"/>
        <v>-430.1996413267513</v>
      </c>
      <c r="U70" s="52">
        <f>IF(B69&gt;0,K70,"")</f>
        <v>15.19951474772404</v>
      </c>
    </row>
    <row r="71" spans="1:21" x14ac:dyDescent="0.2">
      <c r="B71" s="9"/>
      <c r="C71" s="75">
        <f>Panels!C7</f>
        <v>0</v>
      </c>
      <c r="D71" s="76">
        <f>Panels!D7</f>
        <v>28.489029495448079</v>
      </c>
      <c r="E71" s="77"/>
      <c r="F71" s="76">
        <f>IF(TH!$H$13="x",C71,0)</f>
        <v>0</v>
      </c>
      <c r="G71" s="76">
        <f>IF(TH!$H$13="x",D71,0)</f>
        <v>28.489029495448079</v>
      </c>
      <c r="H71" s="76">
        <f>SUM(C71:C72)/2</f>
        <v>0</v>
      </c>
      <c r="I71" s="76">
        <f>SUM(D71:D72)/2</f>
        <v>15.19951474772404</v>
      </c>
      <c r="J71" s="76">
        <f>IF(TH!$H$12="x",H71,0)</f>
        <v>0</v>
      </c>
      <c r="K71" s="76">
        <f>IF(TH!$H$12="x",I71,0)</f>
        <v>15.19951474772404</v>
      </c>
      <c r="L71" s="77"/>
      <c r="M71" s="76">
        <f t="shared" ref="M71:O72" si="39">M70</f>
        <v>0.53484932188528433</v>
      </c>
      <c r="N71" s="76">
        <f t="shared" si="39"/>
        <v>228.71645052381729</v>
      </c>
      <c r="O71" s="89">
        <f t="shared" si="39"/>
        <v>865.41320037178957</v>
      </c>
      <c r="P71" s="68">
        <f t="shared" si="23"/>
        <v>432.70660018589479</v>
      </c>
      <c r="Q71" s="68">
        <f t="shared" si="24"/>
        <v>-432.70660018589479</v>
      </c>
      <c r="R71" s="52">
        <f t="shared" si="25"/>
        <v>5.0139177182869616</v>
      </c>
      <c r="S71" s="68">
        <f>((Path!$D$6-Path!$D$3)*N71/Path!$E$6+Path!$D$3)/2</f>
        <v>430.1996413267513</v>
      </c>
      <c r="T71" s="68">
        <f t="shared" si="26"/>
        <v>-430.1996413267513</v>
      </c>
      <c r="U71" s="52">
        <f>IF(B72&gt;0,K71,"")</f>
        <v>15.19951474772404</v>
      </c>
    </row>
    <row r="72" spans="1:21" x14ac:dyDescent="0.2">
      <c r="A72" s="9" t="s">
        <v>14</v>
      </c>
      <c r="B72" s="47">
        <f t="shared" ref="B72" si="40">B69+1</f>
        <v>16</v>
      </c>
      <c r="C72" s="79">
        <f>C71</f>
        <v>0</v>
      </c>
      <c r="D72" s="80">
        <f>D69</f>
        <v>1.91</v>
      </c>
      <c r="E72" s="81"/>
      <c r="F72" s="80">
        <f>IF(TH!$H$13="x",C72,0)</f>
        <v>0</v>
      </c>
      <c r="G72" s="80">
        <f>IF(TH!$H$13="x",D72,0)</f>
        <v>1.91</v>
      </c>
      <c r="H72" s="80"/>
      <c r="I72" s="80"/>
      <c r="J72" s="80">
        <f>J71</f>
        <v>0</v>
      </c>
      <c r="K72" s="80">
        <f>K71</f>
        <v>15.19951474772404</v>
      </c>
      <c r="L72" s="81"/>
      <c r="M72" s="80">
        <f t="shared" si="39"/>
        <v>0.53484932188528433</v>
      </c>
      <c r="N72" s="80">
        <f t="shared" si="39"/>
        <v>228.71645052381729</v>
      </c>
      <c r="O72" s="87">
        <f t="shared" si="39"/>
        <v>865.41320037178957</v>
      </c>
      <c r="P72" s="68">
        <f t="shared" si="23"/>
        <v>432.70660018589479</v>
      </c>
      <c r="Q72" s="68">
        <f t="shared" si="24"/>
        <v>-432.70660018589479</v>
      </c>
      <c r="R72" s="52">
        <f t="shared" si="25"/>
        <v>5.0139177182869616</v>
      </c>
      <c r="S72" s="68">
        <f>((Path!$D$6-Path!$D$3)*N72/Path!$E$6+Path!$D$3)/2</f>
        <v>430.1996413267513</v>
      </c>
      <c r="T72" s="68">
        <f t="shared" si="26"/>
        <v>-430.1996413267513</v>
      </c>
      <c r="U72" s="52">
        <f>IF(B72&gt;0,K72,"")</f>
        <v>15.19951474772404</v>
      </c>
    </row>
    <row r="73" spans="1:21" x14ac:dyDescent="0.2">
      <c r="B73" s="9"/>
      <c r="C73" s="96"/>
      <c r="D73" s="97"/>
      <c r="E73" s="97"/>
      <c r="F73" s="97"/>
      <c r="G73" s="97"/>
      <c r="H73" s="97"/>
      <c r="I73" s="97"/>
      <c r="J73" s="93">
        <f>J72</f>
        <v>0</v>
      </c>
      <c r="K73" s="93">
        <f>K72</f>
        <v>15.19951474772404</v>
      </c>
      <c r="L73" s="97"/>
      <c r="M73" s="93">
        <f>((H71-H68)^2+(I71-I68)^2)^0.5</f>
        <v>1.91</v>
      </c>
      <c r="N73" s="93">
        <f>N70+M73</f>
        <v>230.62645052381728</v>
      </c>
      <c r="O73" s="98">
        <f>((C71-C72)^2+(D71-D72)^2)^0.5*Path!$H$17</f>
        <v>865.41320037178957</v>
      </c>
      <c r="P73" s="68">
        <f t="shared" si="23"/>
        <v>432.70660018589479</v>
      </c>
      <c r="Q73" s="68">
        <f t="shared" si="24"/>
        <v>-432.70660018589479</v>
      </c>
      <c r="R73" s="52">
        <f t="shared" si="25"/>
        <v>0</v>
      </c>
      <c r="S73" s="68">
        <f>((Path!$D$6-Path!$D$3)*N73/Path!$E$6+Path!$D$3)/2</f>
        <v>432.70660018589479</v>
      </c>
      <c r="T73" s="68">
        <f t="shared" si="26"/>
        <v>-432.70660018589479</v>
      </c>
      <c r="U73" s="52">
        <f>IF(B72&gt;0,K73,"")</f>
        <v>15.19951474772404</v>
      </c>
    </row>
    <row r="74" spans="1:21" x14ac:dyDescent="0.2">
      <c r="B74" s="9"/>
      <c r="C74" s="99"/>
      <c r="D74" s="100"/>
      <c r="E74" s="101"/>
      <c r="F74" s="100"/>
      <c r="G74" s="100"/>
      <c r="H74" s="100"/>
      <c r="I74" s="100"/>
      <c r="J74" s="100"/>
      <c r="K74" s="100"/>
      <c r="L74" s="101"/>
      <c r="M74" s="100"/>
      <c r="N74" s="100"/>
      <c r="O74" s="102"/>
      <c r="P74" s="68"/>
      <c r="Q74" s="68"/>
      <c r="S74" s="68"/>
      <c r="T74" s="68"/>
    </row>
    <row r="75" spans="1:21" x14ac:dyDescent="0.2">
      <c r="B75" s="9"/>
      <c r="C75" s="103"/>
      <c r="D75" s="104"/>
      <c r="E75" s="105"/>
      <c r="F75" s="104"/>
      <c r="G75" s="104"/>
      <c r="H75" s="106"/>
      <c r="I75" s="107"/>
      <c r="J75" s="104"/>
      <c r="K75" s="104"/>
      <c r="L75" s="105"/>
      <c r="M75" s="104"/>
      <c r="N75" s="104"/>
      <c r="O75" s="108"/>
      <c r="P75" s="68"/>
      <c r="Q75" s="68"/>
      <c r="S75" s="68"/>
      <c r="T75" s="68"/>
    </row>
    <row r="76" spans="1:21" x14ac:dyDescent="0.2">
      <c r="B76" s="9"/>
      <c r="C76" s="109"/>
      <c r="D76" s="110"/>
      <c r="E76" s="110"/>
      <c r="F76" s="110"/>
      <c r="G76" s="110"/>
      <c r="H76" s="110"/>
      <c r="I76" s="110"/>
      <c r="J76" s="111"/>
      <c r="K76" s="111"/>
      <c r="L76" s="110"/>
      <c r="M76" s="111"/>
      <c r="N76" s="111"/>
      <c r="O76" s="112"/>
      <c r="P76" s="68"/>
      <c r="Q76" s="68"/>
      <c r="R76" s="10" t="s">
        <v>14</v>
      </c>
      <c r="S76" s="68">
        <f>((Path!$D$6-Path!$D$5)*S78/(Path!$E$6-N58)+Path!$D$5)</f>
        <v>833.38336956775561</v>
      </c>
      <c r="T76" s="68"/>
    </row>
    <row r="78" spans="1:21" x14ac:dyDescent="0.2">
      <c r="R78" s="10" t="s">
        <v>46</v>
      </c>
      <c r="S78" s="52">
        <f>((Panels!S28-Path!C57)^2+(Panels!T28-Path!D57)^2)^0.5</f>
        <v>9.6569746837246537</v>
      </c>
      <c r="T78" s="68"/>
    </row>
  </sheetData>
  <sheetProtection sheet="1" objects="1" scenarios="1"/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12</vt:i4>
      </vt:variant>
    </vt:vector>
  </HeadingPairs>
  <TitlesOfParts>
    <vt:vector size="16" baseType="lpstr">
      <vt:lpstr>TH</vt:lpstr>
      <vt:lpstr>Guides</vt:lpstr>
      <vt:lpstr>Panels</vt:lpstr>
      <vt:lpstr>Path</vt:lpstr>
      <vt:lpstr>Angle</vt:lpstr>
      <vt:lpstr>Angle_err</vt:lpstr>
      <vt:lpstr>Filename</vt:lpstr>
      <vt:lpstr>ID</vt:lpstr>
      <vt:lpstr>Panel_A</vt:lpstr>
      <vt:lpstr>PanelA</vt:lpstr>
      <vt:lpstr>PanelA_err</vt:lpstr>
      <vt:lpstr>PanelE</vt:lpstr>
      <vt:lpstr>PanelE_err</vt:lpstr>
      <vt:lpstr>PanelE2</vt:lpstr>
      <vt:lpstr>PanelE2_err</vt:lpstr>
      <vt:lpstr>Total_Err</vt:lpstr>
    </vt:vector>
  </TitlesOfParts>
  <Company>B&amp;G 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Steele</dc:creator>
  <cp:lastModifiedBy>Brian.Steele</cp:lastModifiedBy>
  <cp:lastPrinted>2013-11-17T17:14:13Z</cp:lastPrinted>
  <dcterms:created xsi:type="dcterms:W3CDTF">2010-07-12T00:49:36Z</dcterms:created>
  <dcterms:modified xsi:type="dcterms:W3CDTF">2019-01-14T01:29:50Z</dcterms:modified>
</cp:coreProperties>
</file>