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8730" codeName="{91B80F79-697F-C00D-A1F8-6C9A07846A5C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I:\Users\Brian.Steele\OneDrive\Documents\diyaudio\boxplan\beta\"/>
    </mc:Choice>
  </mc:AlternateContent>
  <xr:revisionPtr revIDLastSave="41" documentId="FFFC8E497D6D52A8E0CD377E74BA3882D968A1E8" xr6:coauthVersionLast="25" xr6:coauthVersionMax="25" xr10:uidLastSave="{85944135-E0A4-4BC4-9D6D-7E84A45287EF}"/>
  <bookViews>
    <workbookView xWindow="240" yWindow="45" windowWidth="11655" windowHeight="5490" activeTab="2" xr2:uid="{00000000-000D-0000-FFFF-FFFF00000000}"/>
  </bookViews>
  <sheets>
    <sheet name="ROAR TH" sheetId="6" r:id="rId1"/>
    <sheet name="Panels" sheetId="7" r:id="rId2"/>
    <sheet name="Path" sheetId="8" r:id="rId3"/>
  </sheets>
  <calcPr calcId="171027"/>
</workbook>
</file>

<file path=xl/calcChain.xml><?xml version="1.0" encoding="utf-8"?>
<calcChain xmlns="http://schemas.openxmlformats.org/spreadsheetml/2006/main">
  <c r="D11" i="8" l="1"/>
  <c r="D10" i="8"/>
  <c r="D9" i="8"/>
  <c r="D8" i="8"/>
  <c r="D7" i="8"/>
  <c r="E45" i="6" l="1"/>
  <c r="E44" i="6"/>
  <c r="E43" i="6"/>
  <c r="E42" i="6"/>
  <c r="E41" i="6"/>
  <c r="E40" i="6"/>
  <c r="E39" i="6"/>
  <c r="E38" i="6"/>
  <c r="F28" i="6"/>
  <c r="A29" i="8"/>
  <c r="A32" i="8"/>
  <c r="B35" i="8"/>
  <c r="B32" i="8"/>
  <c r="A69" i="7"/>
  <c r="A75" i="7" s="1"/>
  <c r="A57" i="7"/>
  <c r="A63" i="7" s="1"/>
  <c r="A51" i="7"/>
  <c r="A39" i="7"/>
  <c r="A45" i="7" s="1"/>
  <c r="A33" i="7"/>
  <c r="A27" i="7"/>
  <c r="A21" i="7"/>
  <c r="A15" i="7"/>
  <c r="A9" i="7"/>
  <c r="B45" i="6"/>
  <c r="B44" i="6"/>
  <c r="B43" i="6"/>
  <c r="B42" i="6"/>
  <c r="B41" i="6"/>
  <c r="B40" i="6"/>
  <c r="B39" i="6"/>
  <c r="B38" i="6"/>
  <c r="D101" i="6" l="1"/>
  <c r="D54" i="6"/>
  <c r="J105" i="6" l="1"/>
  <c r="J104" i="6"/>
  <c r="J103" i="6"/>
  <c r="D102" i="6"/>
  <c r="J102" i="6" s="1"/>
  <c r="J101" i="6"/>
  <c r="J100" i="6"/>
  <c r="J99" i="6"/>
  <c r="J98" i="6"/>
  <c r="J97" i="6"/>
  <c r="J96" i="6"/>
  <c r="J95" i="6"/>
  <c r="J94" i="6"/>
  <c r="J93" i="6"/>
  <c r="J92" i="6"/>
  <c r="J91" i="6"/>
  <c r="J90" i="6"/>
  <c r="J89" i="6"/>
  <c r="J88" i="6"/>
  <c r="J84" i="6"/>
  <c r="J80" i="6"/>
  <c r="J76" i="6"/>
  <c r="J72" i="6"/>
  <c r="J71" i="6"/>
  <c r="J70" i="6"/>
  <c r="J69" i="6"/>
  <c r="J68" i="6"/>
  <c r="G8" i="8"/>
  <c r="D16" i="6" s="1"/>
  <c r="D75" i="6" s="1"/>
  <c r="J75" i="6" s="1"/>
  <c r="A89" i="8"/>
  <c r="A86" i="8" s="1"/>
  <c r="A83" i="8" s="1"/>
  <c r="A80" i="8" s="1"/>
  <c r="A77" i="8" s="1"/>
  <c r="A74" i="8" s="1"/>
  <c r="A71" i="8" s="1"/>
  <c r="A68" i="8" s="1"/>
  <c r="A65" i="8" s="1"/>
  <c r="A62" i="8" s="1"/>
  <c r="A59" i="8" s="1"/>
  <c r="A56" i="8" s="1"/>
  <c r="A53" i="8" s="1"/>
  <c r="A50" i="8" s="1"/>
  <c r="A47" i="8" s="1"/>
  <c r="A44" i="8" s="1"/>
  <c r="A41" i="8" l="1"/>
  <c r="A38" i="8" s="1"/>
  <c r="A35" i="8" s="1"/>
  <c r="A26" i="8" s="1"/>
  <c r="A23" i="8" s="1"/>
  <c r="A20" i="8" s="1"/>
  <c r="B23" i="8" l="1"/>
  <c r="B26" i="8" s="1"/>
  <c r="B29" i="8" s="1"/>
  <c r="B38" i="8" l="1"/>
  <c r="B41" i="8" s="1"/>
  <c r="B44" i="8" s="1"/>
  <c r="B47" i="8" s="1"/>
  <c r="B50" i="8" s="1"/>
  <c r="B53" i="8" s="1"/>
  <c r="B56" i="8" s="1"/>
  <c r="B59" i="8" s="1"/>
  <c r="B62" i="8" s="1"/>
  <c r="B65" i="8" s="1"/>
  <c r="B68" i="8" s="1"/>
  <c r="B71" i="8" s="1"/>
  <c r="B74" i="8" s="1"/>
  <c r="B77" i="8" s="1"/>
  <c r="B80" i="8" s="1"/>
  <c r="B83" i="8" s="1"/>
  <c r="B86" i="8" s="1"/>
  <c r="B89" i="8" s="1"/>
  <c r="B92" i="8" s="1"/>
  <c r="E97" i="7"/>
  <c r="E105" i="7" s="1"/>
  <c r="E107" i="7" l="1"/>
  <c r="E99" i="7"/>
  <c r="E108" i="7"/>
  <c r="E98" i="7"/>
  <c r="E100" i="7"/>
  <c r="E109" i="7"/>
  <c r="E106" i="7"/>
  <c r="E101" i="7"/>
  <c r="E110" i="7"/>
  <c r="E102" i="7"/>
  <c r="E112" i="7"/>
  <c r="E103" i="7"/>
  <c r="E113" i="7"/>
  <c r="C27" i="7"/>
  <c r="C31" i="7" s="1"/>
  <c r="C39" i="7" s="1"/>
  <c r="C40" i="7" s="1"/>
  <c r="D27" i="7"/>
  <c r="D39" i="7" s="1"/>
  <c r="G39" i="7" s="1"/>
  <c r="M22" i="8"/>
  <c r="M23" i="8" s="1"/>
  <c r="N21" i="8"/>
  <c r="N22" i="8" s="1"/>
  <c r="N23" i="8" s="1"/>
  <c r="D29" i="7"/>
  <c r="D84" i="7" s="1"/>
  <c r="G84" i="7" s="1"/>
  <c r="C28" i="7"/>
  <c r="F23" i="6"/>
  <c r="F21" i="6"/>
  <c r="F16" i="6"/>
  <c r="F5" i="6"/>
  <c r="F6" i="6"/>
  <c r="F7" i="6"/>
  <c r="F8" i="6"/>
  <c r="F4" i="6"/>
  <c r="D25" i="6"/>
  <c r="F25" i="6" s="1"/>
  <c r="D47" i="6"/>
  <c r="D38" i="6" l="1"/>
  <c r="D32" i="6"/>
  <c r="O14" i="8" s="1"/>
  <c r="C81" i="7"/>
  <c r="C82" i="7" s="1"/>
  <c r="D82" i="7"/>
  <c r="G82" i="7" s="1"/>
  <c r="D87" i="7"/>
  <c r="G87" i="7" s="1"/>
  <c r="F31" i="7"/>
  <c r="C21" i="7"/>
  <c r="D28" i="7"/>
  <c r="J29" i="7" s="1"/>
  <c r="D9" i="7"/>
  <c r="D15" i="7" s="1"/>
  <c r="D19" i="7" s="1"/>
  <c r="G19" i="7" s="1"/>
  <c r="C9" i="7"/>
  <c r="C34" i="7"/>
  <c r="F34" i="7" s="1"/>
  <c r="G27" i="7"/>
  <c r="F40" i="7"/>
  <c r="C41" i="7"/>
  <c r="C33" i="7"/>
  <c r="C15" i="7"/>
  <c r="F28" i="7"/>
  <c r="C29" i="7"/>
  <c r="C84" i="7" s="1"/>
  <c r="D33" i="7"/>
  <c r="D21" i="7"/>
  <c r="D20" i="8" s="1"/>
  <c r="D23" i="8" s="1"/>
  <c r="G29" i="7"/>
  <c r="D10" i="7"/>
  <c r="D35" i="7"/>
  <c r="I40" i="7"/>
  <c r="C42" i="7"/>
  <c r="F39" i="7"/>
  <c r="D30" i="7"/>
  <c r="D45" i="7"/>
  <c r="D40" i="7"/>
  <c r="F27" i="7"/>
  <c r="C30" i="7"/>
  <c r="D31" i="7"/>
  <c r="G31" i="7" s="1"/>
  <c r="D31" i="6"/>
  <c r="H31" i="6" s="1"/>
  <c r="I28" i="7"/>
  <c r="F22" i="6"/>
  <c r="O90" i="8" l="1"/>
  <c r="O81" i="8"/>
  <c r="O30" i="8"/>
  <c r="O27" i="8"/>
  <c r="O75" i="8"/>
  <c r="O93" i="8"/>
  <c r="O78" i="8"/>
  <c r="O42" i="8"/>
  <c r="O39" i="8"/>
  <c r="O87" i="8"/>
  <c r="O36" i="8"/>
  <c r="O84" i="8"/>
  <c r="O33" i="8"/>
  <c r="C25" i="7"/>
  <c r="F25" i="7" s="1"/>
  <c r="C20" i="8"/>
  <c r="O66" i="8"/>
  <c r="O63" i="8"/>
  <c r="O60" i="8"/>
  <c r="O57" i="8"/>
  <c r="O54" i="8"/>
  <c r="O72" i="8"/>
  <c r="O69" i="8"/>
  <c r="O51" i="8"/>
  <c r="O48" i="8"/>
  <c r="D39" i="6"/>
  <c r="D45" i="6" s="1"/>
  <c r="K45" i="6" s="1"/>
  <c r="F82" i="7"/>
  <c r="C91" i="8"/>
  <c r="C85" i="8"/>
  <c r="F85" i="8" s="1"/>
  <c r="O18" i="8"/>
  <c r="O21" i="8"/>
  <c r="F11" i="8"/>
  <c r="O24" i="8"/>
  <c r="F8" i="8"/>
  <c r="F9" i="8"/>
  <c r="O45" i="8"/>
  <c r="F10" i="8"/>
  <c r="F7" i="8"/>
  <c r="F81" i="7"/>
  <c r="C69" i="7"/>
  <c r="F69" i="7" s="1"/>
  <c r="C76" i="8"/>
  <c r="F21" i="7"/>
  <c r="J10" i="7"/>
  <c r="F84" i="7"/>
  <c r="C85" i="7"/>
  <c r="C87" i="7"/>
  <c r="F87" i="7" s="1"/>
  <c r="C13" i="7"/>
  <c r="C51" i="7"/>
  <c r="C22" i="8" s="1"/>
  <c r="C22" i="7"/>
  <c r="I22" i="7" s="1"/>
  <c r="J28" i="7"/>
  <c r="K28" i="7" s="1"/>
  <c r="D40" i="6" s="1"/>
  <c r="H41" i="6" s="1"/>
  <c r="F9" i="7"/>
  <c r="G28" i="7"/>
  <c r="G9" i="7"/>
  <c r="D13" i="7"/>
  <c r="G13" i="7" s="1"/>
  <c r="C35" i="7"/>
  <c r="I35" i="7" s="1"/>
  <c r="I41" i="7"/>
  <c r="D18" i="7"/>
  <c r="G18" i="7" s="1"/>
  <c r="G15" i="7"/>
  <c r="D12" i="7"/>
  <c r="G12" i="7" s="1"/>
  <c r="D91" i="8"/>
  <c r="D92" i="8"/>
  <c r="G92" i="8" s="1"/>
  <c r="C10" i="7"/>
  <c r="G35" i="7"/>
  <c r="D16" i="7"/>
  <c r="D36" i="7"/>
  <c r="C45" i="7"/>
  <c r="I30" i="7"/>
  <c r="F29" i="7"/>
  <c r="C37" i="7"/>
  <c r="F37" i="7" s="1"/>
  <c r="I34" i="7"/>
  <c r="C36" i="7"/>
  <c r="F33" i="7"/>
  <c r="I31" i="7"/>
  <c r="F30" i="7"/>
  <c r="G10" i="7"/>
  <c r="D11" i="7"/>
  <c r="J11" i="7" s="1"/>
  <c r="G40" i="7"/>
  <c r="D43" i="7"/>
  <c r="G43" i="7" s="1"/>
  <c r="D41" i="7"/>
  <c r="J31" i="7"/>
  <c r="G30" i="7"/>
  <c r="J40" i="7"/>
  <c r="K40" i="7" s="1"/>
  <c r="J30" i="7"/>
  <c r="D46" i="7"/>
  <c r="J46" i="7" s="1"/>
  <c r="D49" i="7"/>
  <c r="G49" i="7" s="1"/>
  <c r="G45" i="7"/>
  <c r="C43" i="7"/>
  <c r="F43" i="7" s="1"/>
  <c r="F42" i="7"/>
  <c r="D22" i="7"/>
  <c r="D19" i="8" s="1"/>
  <c r="G19" i="8" s="1"/>
  <c r="G21" i="7"/>
  <c r="D24" i="7"/>
  <c r="I42" i="7"/>
  <c r="F41" i="7"/>
  <c r="D34" i="7"/>
  <c r="J34" i="7" s="1"/>
  <c r="D37" i="7"/>
  <c r="G37" i="7" s="1"/>
  <c r="G33" i="7"/>
  <c r="I29" i="7"/>
  <c r="K29" i="7" s="1"/>
  <c r="H40" i="6" s="1"/>
  <c r="C19" i="7"/>
  <c r="F19" i="7" s="1"/>
  <c r="F15" i="7"/>
  <c r="C16" i="7"/>
  <c r="I16" i="7" s="1"/>
  <c r="C34" i="8" l="1"/>
  <c r="C29" i="8"/>
  <c r="F13" i="7"/>
  <c r="C32" i="8"/>
  <c r="F32" i="8" s="1"/>
  <c r="C23" i="8"/>
  <c r="C26" i="8" s="1"/>
  <c r="C25" i="8"/>
  <c r="D43" i="6"/>
  <c r="K43" i="6" s="1"/>
  <c r="D41" i="6"/>
  <c r="K41" i="6" s="1"/>
  <c r="F76" i="8"/>
  <c r="C79" i="8"/>
  <c r="D42" i="6"/>
  <c r="K42" i="6" s="1"/>
  <c r="K39" i="6"/>
  <c r="D44" i="6"/>
  <c r="K44" i="6" s="1"/>
  <c r="C80" i="8"/>
  <c r="F80" i="8" s="1"/>
  <c r="I91" i="8"/>
  <c r="K91" i="8" s="1"/>
  <c r="K92" i="8" s="1"/>
  <c r="K93" i="8" s="1"/>
  <c r="G91" i="8"/>
  <c r="C77" i="8"/>
  <c r="F77" i="8" s="1"/>
  <c r="J41" i="7"/>
  <c r="K41" i="7" s="1"/>
  <c r="D69" i="7"/>
  <c r="C70" i="7"/>
  <c r="C73" i="7"/>
  <c r="F73" i="7" s="1"/>
  <c r="D88" i="7"/>
  <c r="G88" i="7" s="1"/>
  <c r="F85" i="7"/>
  <c r="C52" i="7"/>
  <c r="F51" i="7"/>
  <c r="F22" i="7"/>
  <c r="C55" i="7"/>
  <c r="F55" i="7" s="1"/>
  <c r="C19" i="8"/>
  <c r="C23" i="7"/>
  <c r="F35" i="7"/>
  <c r="I36" i="7"/>
  <c r="J22" i="7"/>
  <c r="K22" i="7" s="1"/>
  <c r="J19" i="7"/>
  <c r="J13" i="7"/>
  <c r="F10" i="7"/>
  <c r="C11" i="7"/>
  <c r="I10" i="7"/>
  <c r="K10" i="7" s="1"/>
  <c r="H38" i="6" s="1"/>
  <c r="K38" i="6" s="1"/>
  <c r="J35" i="7"/>
  <c r="K35" i="7" s="1"/>
  <c r="G34" i="7"/>
  <c r="K30" i="7"/>
  <c r="J37" i="7"/>
  <c r="G36" i="7"/>
  <c r="I43" i="7"/>
  <c r="C49" i="7"/>
  <c r="F49" i="7" s="1"/>
  <c r="C48" i="7"/>
  <c r="F45" i="7"/>
  <c r="C46" i="7"/>
  <c r="G16" i="7"/>
  <c r="D17" i="7"/>
  <c r="J17" i="7" s="1"/>
  <c r="J16" i="7"/>
  <c r="K16" i="7" s="1"/>
  <c r="F16" i="7"/>
  <c r="C17" i="7"/>
  <c r="I17" i="7" s="1"/>
  <c r="G11" i="7"/>
  <c r="J12" i="7"/>
  <c r="K31" i="7"/>
  <c r="G24" i="7"/>
  <c r="D25" i="7"/>
  <c r="G25" i="7" s="1"/>
  <c r="G41" i="7"/>
  <c r="D42" i="7"/>
  <c r="D40" i="8" s="1"/>
  <c r="J36" i="7"/>
  <c r="I37" i="7"/>
  <c r="F36" i="7"/>
  <c r="D51" i="7"/>
  <c r="D22" i="8" s="1"/>
  <c r="D25" i="8" s="1"/>
  <c r="D28" i="8" s="1"/>
  <c r="D31" i="8" s="1"/>
  <c r="G22" i="7"/>
  <c r="D23" i="7"/>
  <c r="J23" i="7" s="1"/>
  <c r="G46" i="7"/>
  <c r="D47" i="7"/>
  <c r="K34" i="7"/>
  <c r="K40" i="6"/>
  <c r="G31" i="8" l="1"/>
  <c r="D32" i="8"/>
  <c r="G32" i="8" s="1"/>
  <c r="C28" i="8"/>
  <c r="I70" i="7"/>
  <c r="F70" i="7"/>
  <c r="D70" i="7"/>
  <c r="G70" i="7" s="1"/>
  <c r="G69" i="7"/>
  <c r="H79" i="8"/>
  <c r="J79" i="8" s="1"/>
  <c r="J80" i="8" s="1"/>
  <c r="J81" i="8" s="1"/>
  <c r="F79" i="8"/>
  <c r="H76" i="8"/>
  <c r="J76" i="8" s="1"/>
  <c r="J77" i="8" s="1"/>
  <c r="J78" i="8" s="1"/>
  <c r="G40" i="8"/>
  <c r="D43" i="8"/>
  <c r="D47" i="8" s="1"/>
  <c r="G47" i="8" s="1"/>
  <c r="F19" i="8"/>
  <c r="J47" i="7"/>
  <c r="C83" i="8"/>
  <c r="C71" i="7"/>
  <c r="D73" i="7"/>
  <c r="G73" i="7" s="1"/>
  <c r="D72" i="7"/>
  <c r="G72" i="7" s="1"/>
  <c r="D75" i="7"/>
  <c r="G75" i="7" s="1"/>
  <c r="G22" i="8"/>
  <c r="G25" i="8"/>
  <c r="I19" i="8"/>
  <c r="K19" i="8" s="1"/>
  <c r="K20" i="8" s="1"/>
  <c r="K21" i="8" s="1"/>
  <c r="G20" i="8"/>
  <c r="I52" i="7"/>
  <c r="C92" i="7"/>
  <c r="F23" i="7"/>
  <c r="C53" i="7"/>
  <c r="F52" i="7"/>
  <c r="C24" i="7"/>
  <c r="I24" i="7" s="1"/>
  <c r="K36" i="7"/>
  <c r="I23" i="7"/>
  <c r="K23" i="7" s="1"/>
  <c r="Q21" i="8"/>
  <c r="J42" i="7"/>
  <c r="K42" i="7" s="1"/>
  <c r="K37" i="7"/>
  <c r="K17" i="7"/>
  <c r="K47" i="6"/>
  <c r="D30" i="6" s="1"/>
  <c r="H30" i="6" s="1"/>
  <c r="D26" i="8"/>
  <c r="D29" i="8" s="1"/>
  <c r="I11" i="7"/>
  <c r="K11" i="7" s="1"/>
  <c r="F11" i="7"/>
  <c r="C12" i="7"/>
  <c r="I12" i="7" s="1"/>
  <c r="K12" i="7" s="1"/>
  <c r="F46" i="7"/>
  <c r="C47" i="7"/>
  <c r="C75" i="7" s="1"/>
  <c r="F75" i="7" s="1"/>
  <c r="I49" i="7"/>
  <c r="F48" i="7"/>
  <c r="J25" i="7"/>
  <c r="I46" i="7"/>
  <c r="K46" i="7" s="1"/>
  <c r="J24" i="7"/>
  <c r="G23" i="7"/>
  <c r="D52" i="7"/>
  <c r="D77" i="8" s="1"/>
  <c r="D55" i="7"/>
  <c r="G55" i="7" s="1"/>
  <c r="G51" i="7"/>
  <c r="G47" i="7"/>
  <c r="D48" i="7"/>
  <c r="J48" i="7" s="1"/>
  <c r="J43" i="7"/>
  <c r="K43" i="7" s="1"/>
  <c r="G42" i="7"/>
  <c r="F17" i="7"/>
  <c r="C18" i="7"/>
  <c r="J18" i="7"/>
  <c r="G17" i="7"/>
  <c r="Q27" i="8" l="1"/>
  <c r="R27" i="8" s="1"/>
  <c r="I31" i="8"/>
  <c r="K31" i="8" s="1"/>
  <c r="K32" i="8" s="1"/>
  <c r="K33" i="8" s="1"/>
  <c r="C31" i="8"/>
  <c r="Q30" i="8"/>
  <c r="J70" i="7"/>
  <c r="K70" i="7" s="1"/>
  <c r="C73" i="8"/>
  <c r="C74" i="8" s="1"/>
  <c r="F74" i="8" s="1"/>
  <c r="F71" i="7"/>
  <c r="F83" i="8"/>
  <c r="G77" i="8"/>
  <c r="D74" i="8"/>
  <c r="I71" i="7"/>
  <c r="C86" i="8"/>
  <c r="I47" i="7"/>
  <c r="K47" i="7" s="1"/>
  <c r="D50" i="8"/>
  <c r="D79" i="7"/>
  <c r="G79" i="7" s="1"/>
  <c r="C72" i="7"/>
  <c r="J73" i="7"/>
  <c r="D78" i="7"/>
  <c r="G78" i="7" s="1"/>
  <c r="D76" i="7"/>
  <c r="G76" i="7" s="1"/>
  <c r="D71" i="7"/>
  <c r="G71" i="7" s="1"/>
  <c r="C54" i="7"/>
  <c r="I55" i="7" s="1"/>
  <c r="C57" i="7"/>
  <c r="F57" i="7" s="1"/>
  <c r="G43" i="8"/>
  <c r="I25" i="8"/>
  <c r="K25" i="8" s="1"/>
  <c r="K26" i="8" s="1"/>
  <c r="K27" i="8" s="1"/>
  <c r="G26" i="8"/>
  <c r="R21" i="8"/>
  <c r="S21" i="8" s="1"/>
  <c r="F20" i="8"/>
  <c r="F25" i="8"/>
  <c r="F53" i="7"/>
  <c r="I53" i="7"/>
  <c r="C99" i="7"/>
  <c r="F99" i="7" s="1"/>
  <c r="C93" i="7"/>
  <c r="E93" i="7" s="1"/>
  <c r="D92" i="7"/>
  <c r="D81" i="7"/>
  <c r="G81" i="7" s="1"/>
  <c r="F24" i="7"/>
  <c r="I25" i="7"/>
  <c r="K25" i="7" s="1"/>
  <c r="K24" i="7"/>
  <c r="D85" i="7"/>
  <c r="H19" i="8"/>
  <c r="J19" i="8" s="1"/>
  <c r="J20" i="8" s="1"/>
  <c r="J21" i="8" s="1"/>
  <c r="J52" i="7"/>
  <c r="K52" i="7" s="1"/>
  <c r="G23" i="8"/>
  <c r="G29" i="8"/>
  <c r="I13" i="7"/>
  <c r="K13" i="7" s="1"/>
  <c r="F12" i="7"/>
  <c r="I19" i="7"/>
  <c r="K19" i="7" s="1"/>
  <c r="F18" i="7"/>
  <c r="I18" i="7"/>
  <c r="K18" i="7" s="1"/>
  <c r="G52" i="7"/>
  <c r="D53" i="7"/>
  <c r="J49" i="7"/>
  <c r="K49" i="7" s="1"/>
  <c r="G48" i="7"/>
  <c r="I48" i="7"/>
  <c r="K48" i="7" s="1"/>
  <c r="F47" i="7"/>
  <c r="Q28" i="8" l="1"/>
  <c r="Q29" i="8" s="1"/>
  <c r="R29" i="8" s="1"/>
  <c r="D11" i="6"/>
  <c r="Q18" i="8" s="1"/>
  <c r="R18" i="8" s="1"/>
  <c r="S18" i="8" s="1"/>
  <c r="U65" i="8"/>
  <c r="V65" i="8" s="1"/>
  <c r="U58" i="8"/>
  <c r="V58" i="8" s="1"/>
  <c r="U53" i="8"/>
  <c r="V53" i="8" s="1"/>
  <c r="U47" i="8"/>
  <c r="V47" i="8" s="1"/>
  <c r="U23" i="8"/>
  <c r="U64" i="8"/>
  <c r="V64" i="8" s="1"/>
  <c r="U52" i="8"/>
  <c r="V52" i="8" s="1"/>
  <c r="U41" i="8"/>
  <c r="V41" i="8" s="1"/>
  <c r="U35" i="8"/>
  <c r="V35" i="8" s="1"/>
  <c r="U29" i="8"/>
  <c r="V29" i="8" s="1"/>
  <c r="U24" i="8"/>
  <c r="U54" i="8"/>
  <c r="V54" i="8" s="1"/>
  <c r="U30" i="8"/>
  <c r="V30" i="8" s="1"/>
  <c r="U63" i="8"/>
  <c r="V63" i="8" s="1"/>
  <c r="U57" i="8"/>
  <c r="V57" i="8" s="1"/>
  <c r="U51" i="8"/>
  <c r="V51" i="8" s="1"/>
  <c r="U46" i="8"/>
  <c r="V46" i="8" s="1"/>
  <c r="U34" i="8"/>
  <c r="V34" i="8" s="1"/>
  <c r="U28" i="8"/>
  <c r="V28" i="8" s="1"/>
  <c r="U21" i="8"/>
  <c r="U45" i="8"/>
  <c r="V45" i="8" s="1"/>
  <c r="U40" i="8"/>
  <c r="V40" i="8" s="1"/>
  <c r="U33" i="8"/>
  <c r="V33" i="8" s="1"/>
  <c r="U27" i="8"/>
  <c r="V27" i="8" s="1"/>
  <c r="U62" i="8"/>
  <c r="V62" i="8" s="1"/>
  <c r="U56" i="8"/>
  <c r="V56" i="8" s="1"/>
  <c r="U50" i="8"/>
  <c r="V50" i="8" s="1"/>
  <c r="U39" i="8"/>
  <c r="V39" i="8" s="1"/>
  <c r="U59" i="8"/>
  <c r="V59" i="8" s="1"/>
  <c r="U22" i="8"/>
  <c r="U61" i="8"/>
  <c r="V61" i="8" s="1"/>
  <c r="U49" i="8"/>
  <c r="V49" i="8" s="1"/>
  <c r="U44" i="8"/>
  <c r="V44" i="8" s="1"/>
  <c r="U38" i="8"/>
  <c r="V38" i="8" s="1"/>
  <c r="U32" i="8"/>
  <c r="V32" i="8" s="1"/>
  <c r="U26" i="8"/>
  <c r="V26" i="8" s="1"/>
  <c r="U42" i="8"/>
  <c r="V42" i="8" s="1"/>
  <c r="U66" i="8"/>
  <c r="V66" i="8" s="1"/>
  <c r="U60" i="8"/>
  <c r="V60" i="8" s="1"/>
  <c r="U55" i="8"/>
  <c r="V55" i="8" s="1"/>
  <c r="U48" i="8"/>
  <c r="V48" i="8" s="1"/>
  <c r="U43" i="8"/>
  <c r="V43" i="8" s="1"/>
  <c r="U37" i="8"/>
  <c r="V37" i="8" s="1"/>
  <c r="U31" i="8"/>
  <c r="V31" i="8" s="1"/>
  <c r="U25" i="8"/>
  <c r="V25" i="8" s="1"/>
  <c r="U36" i="8"/>
  <c r="V36" i="8" s="1"/>
  <c r="S27" i="8"/>
  <c r="Q31" i="8"/>
  <c r="R30" i="8"/>
  <c r="Q33" i="8"/>
  <c r="H31" i="8"/>
  <c r="F31" i="8"/>
  <c r="C64" i="8"/>
  <c r="C59" i="8" s="1"/>
  <c r="F73" i="8"/>
  <c r="C70" i="8"/>
  <c r="C67" i="8" s="1"/>
  <c r="I72" i="7"/>
  <c r="F72" i="7"/>
  <c r="G50" i="8"/>
  <c r="D53" i="8"/>
  <c r="G53" i="8" s="1"/>
  <c r="H85" i="8"/>
  <c r="J85" i="8" s="1"/>
  <c r="J86" i="8" s="1"/>
  <c r="J87" i="8" s="1"/>
  <c r="F86" i="8"/>
  <c r="H73" i="8"/>
  <c r="J73" i="8" s="1"/>
  <c r="J74" i="8" s="1"/>
  <c r="J75" i="8" s="1"/>
  <c r="G74" i="8"/>
  <c r="D71" i="8"/>
  <c r="I54" i="7"/>
  <c r="F54" i="7"/>
  <c r="F22" i="8"/>
  <c r="C92" i="8"/>
  <c r="J71" i="7"/>
  <c r="K71" i="7" s="1"/>
  <c r="D73" i="8"/>
  <c r="G73" i="8" s="1"/>
  <c r="C79" i="7"/>
  <c r="F79" i="7" s="1"/>
  <c r="C76" i="7"/>
  <c r="F76" i="7" s="1"/>
  <c r="J76" i="7"/>
  <c r="J79" i="7"/>
  <c r="I73" i="7"/>
  <c r="K73" i="7" s="1"/>
  <c r="J72" i="7"/>
  <c r="D77" i="7"/>
  <c r="G77" i="7" s="1"/>
  <c r="D93" i="7"/>
  <c r="F93" i="7" s="1"/>
  <c r="D57" i="7"/>
  <c r="G57" i="7" s="1"/>
  <c r="C63" i="7"/>
  <c r="F63" i="7" s="1"/>
  <c r="C58" i="7"/>
  <c r="C61" i="7"/>
  <c r="F61" i="7" s="1"/>
  <c r="Q22" i="8"/>
  <c r="H25" i="8"/>
  <c r="F26" i="8"/>
  <c r="F29" i="8"/>
  <c r="C88" i="7"/>
  <c r="F88" i="7" s="1"/>
  <c r="G85" i="7"/>
  <c r="I22" i="8"/>
  <c r="K22" i="8" s="1"/>
  <c r="K23" i="8" s="1"/>
  <c r="K24" i="8" s="1"/>
  <c r="F23" i="8"/>
  <c r="G28" i="8"/>
  <c r="G53" i="7"/>
  <c r="D54" i="7"/>
  <c r="J53" i="7"/>
  <c r="K53" i="7" s="1"/>
  <c r="R28" i="8" l="1"/>
  <c r="T28" i="8" s="1"/>
  <c r="D73" i="6"/>
  <c r="J73" i="6" s="1"/>
  <c r="Q75" i="8"/>
  <c r="F92" i="8"/>
  <c r="Q93" i="8"/>
  <c r="T27" i="8"/>
  <c r="F70" i="8"/>
  <c r="J31" i="8"/>
  <c r="J32" i="8" s="1"/>
  <c r="J33" i="8" s="1"/>
  <c r="R33" i="8"/>
  <c r="Q34" i="8"/>
  <c r="Q35" i="8" s="1"/>
  <c r="J25" i="8"/>
  <c r="J26" i="8" s="1"/>
  <c r="J27" i="8" s="1"/>
  <c r="S30" i="8"/>
  <c r="T30" i="8"/>
  <c r="Q32" i="8"/>
  <c r="R32" i="8" s="1"/>
  <c r="R31" i="8"/>
  <c r="S29" i="8"/>
  <c r="T29" i="8"/>
  <c r="C61" i="8"/>
  <c r="F61" i="8" s="1"/>
  <c r="F64" i="8"/>
  <c r="K72" i="7"/>
  <c r="I58" i="7"/>
  <c r="F58" i="7"/>
  <c r="F59" i="8"/>
  <c r="I73" i="8"/>
  <c r="C56" i="8"/>
  <c r="F67" i="8"/>
  <c r="G71" i="8"/>
  <c r="D70" i="8"/>
  <c r="G70" i="8" s="1"/>
  <c r="D64" i="8"/>
  <c r="R22" i="8"/>
  <c r="S22" i="8" s="1"/>
  <c r="C89" i="8"/>
  <c r="Q24" i="8"/>
  <c r="Q25" i="8" s="1"/>
  <c r="F28" i="8"/>
  <c r="D76" i="8"/>
  <c r="Q78" i="8" s="1"/>
  <c r="C77" i="7"/>
  <c r="I76" i="7"/>
  <c r="K76" i="7" s="1"/>
  <c r="J78" i="7"/>
  <c r="J77" i="7"/>
  <c r="D58" i="7"/>
  <c r="D63" i="7"/>
  <c r="G63" i="7" s="1"/>
  <c r="D61" i="7"/>
  <c r="G61" i="7" s="1"/>
  <c r="D60" i="7"/>
  <c r="G60" i="7" s="1"/>
  <c r="C59" i="7"/>
  <c r="C67" i="7"/>
  <c r="F67" i="7" s="1"/>
  <c r="C64" i="7"/>
  <c r="Q23" i="8"/>
  <c r="R23" i="8" s="1"/>
  <c r="H93" i="7"/>
  <c r="G93" i="7"/>
  <c r="H22" i="8"/>
  <c r="J22" i="8" s="1"/>
  <c r="J23" i="8" s="1"/>
  <c r="J24" i="8" s="1"/>
  <c r="I28" i="8"/>
  <c r="K28" i="8" s="1"/>
  <c r="K29" i="8" s="1"/>
  <c r="K30" i="8" s="1"/>
  <c r="H28" i="8"/>
  <c r="J55" i="7"/>
  <c r="K55" i="7" s="1"/>
  <c r="G54" i="7"/>
  <c r="J54" i="7"/>
  <c r="K54" i="7" s="1"/>
  <c r="Q76" i="8" l="1"/>
  <c r="R75" i="8"/>
  <c r="S75" i="8" s="1"/>
  <c r="Q79" i="8"/>
  <c r="R78" i="8"/>
  <c r="S78" i="8" s="1"/>
  <c r="S28" i="8"/>
  <c r="K73" i="8"/>
  <c r="K74" i="8" s="1"/>
  <c r="K75" i="8" s="1"/>
  <c r="M30" i="8"/>
  <c r="M31" i="8" s="1"/>
  <c r="M32" i="8" s="1"/>
  <c r="M27" i="8"/>
  <c r="M28" i="8" s="1"/>
  <c r="M29" i="8" s="1"/>
  <c r="S32" i="8"/>
  <c r="T32" i="8"/>
  <c r="M33" i="8"/>
  <c r="Q26" i="8"/>
  <c r="R26" i="8" s="1"/>
  <c r="R25" i="8"/>
  <c r="S31" i="8"/>
  <c r="T31" i="8"/>
  <c r="S33" i="8"/>
  <c r="T33" i="8"/>
  <c r="I43" i="6" s="1"/>
  <c r="R35" i="8"/>
  <c r="R34" i="8"/>
  <c r="J58" i="7"/>
  <c r="K58" i="7" s="1"/>
  <c r="G58" i="7"/>
  <c r="I64" i="7"/>
  <c r="F64" i="7"/>
  <c r="I59" i="7"/>
  <c r="F59" i="7"/>
  <c r="I77" i="7"/>
  <c r="K77" i="7" s="1"/>
  <c r="F77" i="7"/>
  <c r="G64" i="8"/>
  <c r="F56" i="8"/>
  <c r="I70" i="8"/>
  <c r="K70" i="8" s="1"/>
  <c r="K71" i="8" s="1"/>
  <c r="K72" i="8" s="1"/>
  <c r="G76" i="8"/>
  <c r="I76" i="8"/>
  <c r="M78" i="8" s="1"/>
  <c r="F89" i="8"/>
  <c r="D67" i="8"/>
  <c r="G67" i="8" s="1"/>
  <c r="D65" i="8"/>
  <c r="G65" i="8" s="1"/>
  <c r="H7" i="8"/>
  <c r="F11" i="6"/>
  <c r="D80" i="8"/>
  <c r="G80" i="8" s="1"/>
  <c r="R24" i="8"/>
  <c r="S24" i="8" s="1"/>
  <c r="S23" i="8"/>
  <c r="C82" i="8"/>
  <c r="C78" i="7"/>
  <c r="D66" i="7"/>
  <c r="G66" i="7" s="1"/>
  <c r="J61" i="7"/>
  <c r="D67" i="7"/>
  <c r="G67" i="7" s="1"/>
  <c r="D64" i="7"/>
  <c r="D59" i="7"/>
  <c r="C65" i="7"/>
  <c r="C49" i="8"/>
  <c r="C58" i="8" s="1"/>
  <c r="C62" i="8" s="1"/>
  <c r="C60" i="7"/>
  <c r="M24" i="8"/>
  <c r="M25" i="8" s="1"/>
  <c r="M26" i="8" s="1"/>
  <c r="J28" i="8"/>
  <c r="J29" i="8" s="1"/>
  <c r="J30" i="8" s="1"/>
  <c r="C98" i="7"/>
  <c r="F98" i="7" s="1"/>
  <c r="C103" i="7"/>
  <c r="F103" i="7" s="1"/>
  <c r="C100" i="7"/>
  <c r="F100" i="7" s="1"/>
  <c r="C106" i="7"/>
  <c r="F106" i="7" s="1"/>
  <c r="D99" i="7"/>
  <c r="Q80" i="8" l="1"/>
  <c r="R80" i="8" s="1"/>
  <c r="S80" i="8" s="1"/>
  <c r="R79" i="8"/>
  <c r="S79" i="8" s="1"/>
  <c r="Q77" i="8"/>
  <c r="R77" i="8" s="1"/>
  <c r="S77" i="8" s="1"/>
  <c r="R76" i="8"/>
  <c r="S76" i="8" s="1"/>
  <c r="M79" i="8"/>
  <c r="M80" i="8" s="1"/>
  <c r="T25" i="8"/>
  <c r="S25" i="8"/>
  <c r="T26" i="8"/>
  <c r="S26" i="8"/>
  <c r="M34" i="8"/>
  <c r="M35" i="8" s="1"/>
  <c r="S34" i="8"/>
  <c r="T34" i="8"/>
  <c r="S35" i="8"/>
  <c r="T35" i="8"/>
  <c r="I60" i="7"/>
  <c r="F60" i="7"/>
  <c r="I78" i="7"/>
  <c r="K78" i="7" s="1"/>
  <c r="F78" i="7"/>
  <c r="I65" i="7"/>
  <c r="F65" i="7"/>
  <c r="J59" i="7"/>
  <c r="K59" i="7" s="1"/>
  <c r="G59" i="7"/>
  <c r="J64" i="7"/>
  <c r="K64" i="7" s="1"/>
  <c r="G64" i="7"/>
  <c r="I64" i="8"/>
  <c r="K64" i="8" s="1"/>
  <c r="K65" i="8" s="1"/>
  <c r="K66" i="8" s="1"/>
  <c r="F62" i="8"/>
  <c r="H61" i="8"/>
  <c r="J61" i="8" s="1"/>
  <c r="J62" i="8" s="1"/>
  <c r="J63" i="8" s="1"/>
  <c r="F58" i="8"/>
  <c r="H58" i="8"/>
  <c r="F82" i="8"/>
  <c r="H82" i="8"/>
  <c r="J82" i="8" s="1"/>
  <c r="J83" i="8" s="1"/>
  <c r="J84" i="8" s="1"/>
  <c r="K76" i="8"/>
  <c r="K77" i="8" s="1"/>
  <c r="K78" i="8" s="1"/>
  <c r="C55" i="8"/>
  <c r="D68" i="8"/>
  <c r="F49" i="8"/>
  <c r="D83" i="8"/>
  <c r="G83" i="8" s="1"/>
  <c r="I79" i="7"/>
  <c r="K79" i="7" s="1"/>
  <c r="D65" i="7"/>
  <c r="J60" i="7"/>
  <c r="D49" i="8"/>
  <c r="D58" i="8" s="1"/>
  <c r="D61" i="8" s="1"/>
  <c r="J67" i="7"/>
  <c r="I61" i="7"/>
  <c r="K61" i="7" s="1"/>
  <c r="C50" i="8"/>
  <c r="C66" i="7"/>
  <c r="F66" i="7" s="1"/>
  <c r="C35" i="8"/>
  <c r="D103" i="7"/>
  <c r="G103" i="7" s="1"/>
  <c r="D100" i="7"/>
  <c r="G99" i="7"/>
  <c r="N24" i="8"/>
  <c r="D106" i="7"/>
  <c r="G106" i="7" s="1"/>
  <c r="D98" i="7"/>
  <c r="G98" i="7" s="1"/>
  <c r="C101" i="7"/>
  <c r="F101" i="7" s="1"/>
  <c r="C107" i="7"/>
  <c r="F107" i="7" s="1"/>
  <c r="C110" i="7"/>
  <c r="F110" i="7" s="1"/>
  <c r="C105" i="7"/>
  <c r="F105" i="7" s="1"/>
  <c r="N25" i="8" l="1"/>
  <c r="N26" i="8" s="1"/>
  <c r="N27" i="8"/>
  <c r="K60" i="7"/>
  <c r="J65" i="7"/>
  <c r="K65" i="7" s="1"/>
  <c r="G65" i="7"/>
  <c r="G61" i="8"/>
  <c r="D62" i="8"/>
  <c r="G62" i="8" s="1"/>
  <c r="J58" i="8"/>
  <c r="J59" i="8" s="1"/>
  <c r="J60" i="8" s="1"/>
  <c r="F55" i="8"/>
  <c r="C52" i="8"/>
  <c r="H55" i="8"/>
  <c r="J55" i="8" s="1"/>
  <c r="J56" i="8" s="1"/>
  <c r="J57" i="8" s="1"/>
  <c r="G58" i="8"/>
  <c r="D55" i="8"/>
  <c r="G68" i="8"/>
  <c r="I67" i="8"/>
  <c r="D59" i="8"/>
  <c r="G59" i="8" s="1"/>
  <c r="F50" i="8"/>
  <c r="C65" i="8"/>
  <c r="H49" i="8"/>
  <c r="J49" i="8" s="1"/>
  <c r="J50" i="8" s="1"/>
  <c r="J51" i="8" s="1"/>
  <c r="G49" i="8"/>
  <c r="I49" i="8"/>
  <c r="Q51" i="8"/>
  <c r="R51" i="8" s="1"/>
  <c r="N18" i="8"/>
  <c r="D85" i="8"/>
  <c r="D86" i="8"/>
  <c r="G86" i="8" s="1"/>
  <c r="D35" i="8"/>
  <c r="J66" i="7"/>
  <c r="F35" i="8"/>
  <c r="C38" i="8"/>
  <c r="I67" i="7"/>
  <c r="K67" i="7" s="1"/>
  <c r="I66" i="7"/>
  <c r="D101" i="7"/>
  <c r="D102" i="7" s="1"/>
  <c r="G100" i="7"/>
  <c r="C108" i="7"/>
  <c r="F108" i="7" s="1"/>
  <c r="C102" i="7"/>
  <c r="F102" i="7" s="1"/>
  <c r="D79" i="8"/>
  <c r="Q81" i="8" s="1"/>
  <c r="D110" i="7"/>
  <c r="G110" i="7" s="1"/>
  <c r="D105" i="7"/>
  <c r="G105" i="7" s="1"/>
  <c r="D107" i="7"/>
  <c r="G107" i="7" s="1"/>
  <c r="Q82" i="8" l="1"/>
  <c r="R81" i="8"/>
  <c r="S81" i="8" s="1"/>
  <c r="Q87" i="8"/>
  <c r="Q88" i="8" s="1"/>
  <c r="Q89" i="8" s="1"/>
  <c r="T51" i="8"/>
  <c r="I44" i="6" s="1"/>
  <c r="S51" i="8"/>
  <c r="N28" i="8"/>
  <c r="N29" i="8" s="1"/>
  <c r="N30" i="8"/>
  <c r="Q52" i="8"/>
  <c r="R52" i="8" s="1"/>
  <c r="Q63" i="8"/>
  <c r="R63" i="8" s="1"/>
  <c r="I61" i="8"/>
  <c r="K61" i="8" s="1"/>
  <c r="K62" i="8" s="1"/>
  <c r="K63" i="8" s="1"/>
  <c r="F65" i="8"/>
  <c r="H64" i="8"/>
  <c r="J64" i="8" s="1"/>
  <c r="J65" i="8" s="1"/>
  <c r="J66" i="8" s="1"/>
  <c r="Q66" i="8"/>
  <c r="Q60" i="8"/>
  <c r="R60" i="8" s="1"/>
  <c r="F52" i="8"/>
  <c r="C53" i="8"/>
  <c r="F53" i="8" s="1"/>
  <c r="G55" i="8"/>
  <c r="D52" i="8"/>
  <c r="I58" i="8"/>
  <c r="D88" i="8"/>
  <c r="I85" i="8"/>
  <c r="K85" i="8" s="1"/>
  <c r="K86" i="8" s="1"/>
  <c r="K87" i="8" s="1"/>
  <c r="G85" i="8"/>
  <c r="D56" i="8"/>
  <c r="G56" i="8" s="1"/>
  <c r="G79" i="8"/>
  <c r="I79" i="8"/>
  <c r="M81" i="8" s="1"/>
  <c r="M82" i="8" s="1"/>
  <c r="M83" i="8" s="1"/>
  <c r="K67" i="8"/>
  <c r="K68" i="8" s="1"/>
  <c r="K69" i="8" s="1"/>
  <c r="C71" i="8"/>
  <c r="C68" i="8"/>
  <c r="K49" i="8"/>
  <c r="K50" i="8" s="1"/>
  <c r="K51" i="8" s="1"/>
  <c r="D89" i="8"/>
  <c r="G89" i="8" s="1"/>
  <c r="K66" i="7"/>
  <c r="D34" i="8"/>
  <c r="Q36" i="8" s="1"/>
  <c r="D38" i="8"/>
  <c r="G35" i="8"/>
  <c r="D37" i="8"/>
  <c r="F38" i="8"/>
  <c r="C41" i="8"/>
  <c r="G101" i="7"/>
  <c r="G102" i="7"/>
  <c r="D108" i="7"/>
  <c r="C113" i="7"/>
  <c r="F113" i="7" s="1"/>
  <c r="C109" i="7"/>
  <c r="F109" i="7" s="1"/>
  <c r="D82" i="8"/>
  <c r="Q84" i="8" s="1"/>
  <c r="R66" i="8" l="1"/>
  <c r="S66" i="8" s="1"/>
  <c r="D13" i="6"/>
  <c r="D78" i="6" s="1"/>
  <c r="Q85" i="8"/>
  <c r="Q86" i="8" s="1"/>
  <c r="R84" i="8"/>
  <c r="S84" i="8" s="1"/>
  <c r="Q83" i="8"/>
  <c r="R83" i="8" s="1"/>
  <c r="S83" i="8" s="1"/>
  <c r="R82" i="8"/>
  <c r="S82" i="8" s="1"/>
  <c r="Q53" i="8"/>
  <c r="R53" i="8" s="1"/>
  <c r="S53" i="8" s="1"/>
  <c r="R36" i="8"/>
  <c r="Q37" i="8"/>
  <c r="Q38" i="8" s="1"/>
  <c r="N31" i="8"/>
  <c r="N32" i="8" s="1"/>
  <c r="N33" i="8"/>
  <c r="N34" i="8" s="1"/>
  <c r="N35" i="8" s="1"/>
  <c r="S63" i="8"/>
  <c r="T63" i="8"/>
  <c r="S60" i="8"/>
  <c r="T60" i="8"/>
  <c r="I42" i="6" s="1"/>
  <c r="S52" i="8"/>
  <c r="T52" i="8"/>
  <c r="Q61" i="8"/>
  <c r="R61" i="8" s="1"/>
  <c r="Q64" i="8"/>
  <c r="R64" i="8" s="1"/>
  <c r="M66" i="8"/>
  <c r="M63" i="8"/>
  <c r="M64" i="8" s="1"/>
  <c r="M65" i="8" s="1"/>
  <c r="H52" i="8"/>
  <c r="J52" i="8" s="1"/>
  <c r="J53" i="8" s="1"/>
  <c r="J54" i="8" s="1"/>
  <c r="Q57" i="8"/>
  <c r="R57" i="8" s="1"/>
  <c r="G52" i="8"/>
  <c r="I52" i="8"/>
  <c r="Q54" i="8"/>
  <c r="R54" i="8" s="1"/>
  <c r="I55" i="8"/>
  <c r="K58" i="8"/>
  <c r="K59" i="8" s="1"/>
  <c r="K60" i="8" s="1"/>
  <c r="R87" i="8"/>
  <c r="S87" i="8" s="1"/>
  <c r="G88" i="8"/>
  <c r="I88" i="8"/>
  <c r="F68" i="8"/>
  <c r="H67" i="8"/>
  <c r="Q69" i="8"/>
  <c r="R69" i="8" s="1"/>
  <c r="S69" i="8" s="1"/>
  <c r="Q67" i="8"/>
  <c r="R67" i="8" s="1"/>
  <c r="S67" i="8" s="1"/>
  <c r="F71" i="8"/>
  <c r="H70" i="8"/>
  <c r="M75" i="8" s="1"/>
  <c r="M76" i="8" s="1"/>
  <c r="M77" i="8" s="1"/>
  <c r="Q72" i="8"/>
  <c r="R72" i="8" s="1"/>
  <c r="S72" i="8" s="1"/>
  <c r="K79" i="8"/>
  <c r="K80" i="8" s="1"/>
  <c r="K81" i="8" s="1"/>
  <c r="I82" i="8"/>
  <c r="G82" i="8"/>
  <c r="C43" i="8"/>
  <c r="C46" i="8" s="1"/>
  <c r="C44" i="8"/>
  <c r="C47" i="8" s="1"/>
  <c r="F47" i="8" s="1"/>
  <c r="C88" i="8"/>
  <c r="Q90" i="8" s="1"/>
  <c r="Q91" i="8" s="1"/>
  <c r="Q92" i="8" s="1"/>
  <c r="H91" i="8"/>
  <c r="F91" i="8"/>
  <c r="G37" i="8"/>
  <c r="I37" i="8"/>
  <c r="K37" i="8" s="1"/>
  <c r="K38" i="8" s="1"/>
  <c r="K39" i="8" s="1"/>
  <c r="G38" i="8"/>
  <c r="D41" i="8"/>
  <c r="D44" i="8" s="1"/>
  <c r="D46" i="8" s="1"/>
  <c r="G34" i="8"/>
  <c r="I34" i="8"/>
  <c r="F41" i="8"/>
  <c r="G108" i="7"/>
  <c r="D109" i="7"/>
  <c r="G109" i="7" s="1"/>
  <c r="D113" i="7"/>
  <c r="G113" i="7" s="1"/>
  <c r="C112" i="7"/>
  <c r="F112" i="7" s="1"/>
  <c r="T66" i="8" l="1"/>
  <c r="D81" i="6"/>
  <c r="J81" i="6" s="1"/>
  <c r="J78" i="6"/>
  <c r="Q73" i="8"/>
  <c r="M87" i="8"/>
  <c r="M88" i="8" s="1"/>
  <c r="M89" i="8" s="1"/>
  <c r="M84" i="8"/>
  <c r="T53" i="8"/>
  <c r="S36" i="8"/>
  <c r="T36" i="8"/>
  <c r="S54" i="8"/>
  <c r="T54" i="8"/>
  <c r="T64" i="8"/>
  <c r="S64" i="8"/>
  <c r="S61" i="8"/>
  <c r="T61" i="8"/>
  <c r="S57" i="8"/>
  <c r="T57" i="8"/>
  <c r="Q62" i="8"/>
  <c r="R62" i="8" s="1"/>
  <c r="R93" i="8"/>
  <c r="S93" i="8" s="1"/>
  <c r="D15" i="6"/>
  <c r="Q65" i="8"/>
  <c r="R65" i="8" s="1"/>
  <c r="R90" i="8"/>
  <c r="S90" i="8" s="1"/>
  <c r="Q55" i="8"/>
  <c r="R55" i="8" s="1"/>
  <c r="K52" i="8"/>
  <c r="K53" i="8" s="1"/>
  <c r="K54" i="8" s="1"/>
  <c r="M54" i="8"/>
  <c r="Q58" i="8"/>
  <c r="R58" i="8" s="1"/>
  <c r="K55" i="8"/>
  <c r="K56" i="8" s="1"/>
  <c r="K57" i="8" s="1"/>
  <c r="M57" i="8"/>
  <c r="M60" i="8"/>
  <c r="M61" i="8" s="1"/>
  <c r="M62" i="8" s="1"/>
  <c r="F88" i="8"/>
  <c r="H88" i="8"/>
  <c r="K88" i="8"/>
  <c r="K89" i="8" s="1"/>
  <c r="K90" i="8" s="1"/>
  <c r="R89" i="8"/>
  <c r="S89" i="8" s="1"/>
  <c r="R88" i="8"/>
  <c r="S88" i="8" s="1"/>
  <c r="Q70" i="8"/>
  <c r="R70" i="8" s="1"/>
  <c r="S70" i="8" s="1"/>
  <c r="Q68" i="8"/>
  <c r="R68" i="8" s="1"/>
  <c r="S68" i="8" s="1"/>
  <c r="J67" i="8"/>
  <c r="J68" i="8" s="1"/>
  <c r="J69" i="8" s="1"/>
  <c r="M69" i="8"/>
  <c r="M70" i="8" s="1"/>
  <c r="M71" i="8" s="1"/>
  <c r="J70" i="8"/>
  <c r="J71" i="8" s="1"/>
  <c r="J72" i="8" s="1"/>
  <c r="M72" i="8"/>
  <c r="M73" i="8" s="1"/>
  <c r="M74" i="8" s="1"/>
  <c r="K82" i="8"/>
  <c r="K83" i="8" s="1"/>
  <c r="K84" i="8" s="1"/>
  <c r="M67" i="8"/>
  <c r="M68" i="8" s="1"/>
  <c r="F46" i="8"/>
  <c r="H46" i="8"/>
  <c r="J46" i="8" s="1"/>
  <c r="J47" i="8" s="1"/>
  <c r="J48" i="8" s="1"/>
  <c r="I46" i="8"/>
  <c r="G46" i="8"/>
  <c r="Q48" i="8"/>
  <c r="R48" i="8" s="1"/>
  <c r="J91" i="8"/>
  <c r="J92" i="8" s="1"/>
  <c r="J93" i="8" s="1"/>
  <c r="K34" i="8"/>
  <c r="K35" i="8" s="1"/>
  <c r="K36" i="8" s="1"/>
  <c r="G41" i="8"/>
  <c r="I40" i="8"/>
  <c r="K40" i="8" s="1"/>
  <c r="K41" i="8" s="1"/>
  <c r="K42" i="8" s="1"/>
  <c r="Q45" i="8"/>
  <c r="R45" i="8" s="1"/>
  <c r="F43" i="8"/>
  <c r="H43" i="8"/>
  <c r="F44" i="8"/>
  <c r="D112" i="7"/>
  <c r="G112" i="7" s="1"/>
  <c r="Q74" i="8" l="1"/>
  <c r="R74" i="8" s="1"/>
  <c r="S74" i="8" s="1"/>
  <c r="R73" i="8"/>
  <c r="S73" i="8" s="1"/>
  <c r="J88" i="8"/>
  <c r="J89" i="8" s="1"/>
  <c r="J90" i="8" s="1"/>
  <c r="M90" i="8"/>
  <c r="M91" i="8" s="1"/>
  <c r="M92" i="8" s="1"/>
  <c r="M93" i="8"/>
  <c r="M85" i="8"/>
  <c r="M86" i="8" s="1"/>
  <c r="S45" i="8"/>
  <c r="T45" i="8"/>
  <c r="S58" i="8"/>
  <c r="T58" i="8"/>
  <c r="T48" i="8"/>
  <c r="S48" i="8"/>
  <c r="T55" i="8"/>
  <c r="S55" i="8"/>
  <c r="S62" i="8"/>
  <c r="T62" i="8"/>
  <c r="S65" i="8"/>
  <c r="T65" i="8"/>
  <c r="Q59" i="8"/>
  <c r="R59" i="8" s="1"/>
  <c r="M55" i="8"/>
  <c r="M56" i="8" s="1"/>
  <c r="Q56" i="8"/>
  <c r="R56" i="8" s="1"/>
  <c r="M58" i="8"/>
  <c r="M59" i="8" s="1"/>
  <c r="Q71" i="8"/>
  <c r="R71" i="8" s="1"/>
  <c r="S71" i="8" s="1"/>
  <c r="R86" i="8"/>
  <c r="S86" i="8" s="1"/>
  <c r="R85" i="8"/>
  <c r="S85" i="8" s="1"/>
  <c r="Q49" i="8"/>
  <c r="R49" i="8" s="1"/>
  <c r="Q46" i="8"/>
  <c r="R46" i="8" s="1"/>
  <c r="K46" i="8"/>
  <c r="K47" i="8" s="1"/>
  <c r="K48" i="8" s="1"/>
  <c r="M51" i="8"/>
  <c r="M52" i="8" s="1"/>
  <c r="M53" i="8" s="1"/>
  <c r="R91" i="8"/>
  <c r="S91" i="8" s="1"/>
  <c r="G44" i="8"/>
  <c r="I43" i="8"/>
  <c r="K43" i="8" s="1"/>
  <c r="K44" i="8" s="1"/>
  <c r="K45" i="8" s="1"/>
  <c r="J43" i="8"/>
  <c r="J44" i="8" s="1"/>
  <c r="J45" i="8" s="1"/>
  <c r="T49" i="8" l="1"/>
  <c r="S49" i="8"/>
  <c r="T56" i="8"/>
  <c r="S56" i="8"/>
  <c r="S59" i="8"/>
  <c r="T59" i="8"/>
  <c r="S46" i="8"/>
  <c r="T46" i="8"/>
  <c r="M48" i="8"/>
  <c r="Q47" i="8"/>
  <c r="R47" i="8" s="1"/>
  <c r="Q50" i="8"/>
  <c r="R50" i="8" s="1"/>
  <c r="R92" i="8"/>
  <c r="S92" i="8" s="1"/>
  <c r="S50" i="8" l="1"/>
  <c r="T50" i="8"/>
  <c r="S47" i="8"/>
  <c r="T47" i="8"/>
  <c r="M49" i="8"/>
  <c r="M50" i="8" s="1"/>
  <c r="C37" i="8" l="1"/>
  <c r="Q39" i="8" s="1"/>
  <c r="Q40" i="8" l="1"/>
  <c r="Q41" i="8" s="1"/>
  <c r="R39" i="8"/>
  <c r="F13" i="6"/>
  <c r="H9" i="8"/>
  <c r="R37" i="8"/>
  <c r="H34" i="8"/>
  <c r="M36" i="8" s="1"/>
  <c r="H37" i="8"/>
  <c r="F37" i="8"/>
  <c r="C40" i="8"/>
  <c r="Q42" i="8" s="1"/>
  <c r="R42" i="8" s="1"/>
  <c r="F34" i="8"/>
  <c r="R40" i="8" l="1"/>
  <c r="T40" i="8" s="1"/>
  <c r="T39" i="8"/>
  <c r="S39" i="8"/>
  <c r="M39" i="8"/>
  <c r="M40" i="8" s="1"/>
  <c r="M41" i="8" s="1"/>
  <c r="T42" i="8"/>
  <c r="S42" i="8"/>
  <c r="N36" i="8"/>
  <c r="N37" i="8" s="1"/>
  <c r="N38" i="8" s="1"/>
  <c r="M37" i="8"/>
  <c r="M38" i="8" s="1"/>
  <c r="S37" i="8"/>
  <c r="T37" i="8"/>
  <c r="R38" i="8"/>
  <c r="R41" i="8"/>
  <c r="J37" i="8"/>
  <c r="J38" i="8" s="1"/>
  <c r="J39" i="8" s="1"/>
  <c r="J34" i="8"/>
  <c r="J35" i="8" s="1"/>
  <c r="J36" i="8" s="1"/>
  <c r="F40" i="8"/>
  <c r="H40" i="8"/>
  <c r="M42" i="8" s="1"/>
  <c r="S40" i="8" l="1"/>
  <c r="N39" i="8"/>
  <c r="N40" i="8" s="1"/>
  <c r="N41" i="8" s="1"/>
  <c r="S41" i="8"/>
  <c r="T41" i="8"/>
  <c r="S38" i="8"/>
  <c r="T38" i="8"/>
  <c r="M43" i="8"/>
  <c r="M44" i="8" s="1"/>
  <c r="J40" i="8"/>
  <c r="J41" i="8" s="1"/>
  <c r="J42" i="8" s="1"/>
  <c r="M45" i="8"/>
  <c r="Q43" i="8"/>
  <c r="R43" i="8" s="1"/>
  <c r="N42" i="8" l="1"/>
  <c r="T43" i="8"/>
  <c r="S43" i="8"/>
  <c r="M46" i="8"/>
  <c r="M47" i="8" s="1"/>
  <c r="Q44" i="8"/>
  <c r="R44" i="8" s="1"/>
  <c r="T44" i="8" l="1"/>
  <c r="S44" i="8"/>
  <c r="N45" i="8"/>
  <c r="N43" i="8"/>
  <c r="N46" i="8" l="1"/>
  <c r="N48" i="8"/>
  <c r="N44" i="8"/>
  <c r="N49" i="8" l="1"/>
  <c r="N51" i="8"/>
  <c r="N47" i="8"/>
  <c r="N50" i="8" l="1"/>
  <c r="N52" i="8"/>
  <c r="N54" i="8"/>
  <c r="N53" i="8" l="1"/>
  <c r="N55" i="8"/>
  <c r="N57" i="8"/>
  <c r="T21" i="8"/>
  <c r="H8" i="8"/>
  <c r="I8" i="8" s="1"/>
  <c r="T22" i="8"/>
  <c r="T24" i="8"/>
  <c r="T23" i="8"/>
  <c r="D3" i="8"/>
  <c r="E3" i="8" s="1"/>
  <c r="N56" i="8" l="1"/>
  <c r="N58" i="8"/>
  <c r="N60" i="8"/>
  <c r="D12" i="6"/>
  <c r="F12" i="6" s="1"/>
  <c r="D4" i="8"/>
  <c r="H3" i="8"/>
  <c r="I3" i="8" s="1"/>
  <c r="D2" i="8"/>
  <c r="E2" i="8" s="1"/>
  <c r="H2" i="8"/>
  <c r="I2" i="8" s="1"/>
  <c r="H4" i="8"/>
  <c r="V22" i="8"/>
  <c r="V24" i="8"/>
  <c r="V23" i="8"/>
  <c r="V21" i="8"/>
  <c r="N59" i="8" l="1"/>
  <c r="N61" i="8"/>
  <c r="N63" i="8"/>
  <c r="D74" i="6"/>
  <c r="J74" i="6" s="1"/>
  <c r="N62" i="8" l="1"/>
  <c r="N64" i="8"/>
  <c r="N66" i="8"/>
  <c r="E9" i="8" s="1"/>
  <c r="D77" i="6"/>
  <c r="J77" i="6" s="1"/>
  <c r="N65" i="8" l="1"/>
  <c r="N67" i="8"/>
  <c r="N69" i="8"/>
  <c r="N70" i="8" l="1"/>
  <c r="N68" i="8"/>
  <c r="N72" i="8"/>
  <c r="N73" i="8" l="1"/>
  <c r="N75" i="8"/>
  <c r="N71" i="8"/>
  <c r="N74" i="8" l="1"/>
  <c r="N76" i="8"/>
  <c r="N78" i="8"/>
  <c r="N77" i="8" l="1"/>
  <c r="N79" i="8"/>
  <c r="N81" i="8"/>
  <c r="U18" i="8"/>
  <c r="V18" i="8" s="1"/>
  <c r="G9" i="8"/>
  <c r="D17" i="6" s="1"/>
  <c r="I9" i="8"/>
  <c r="N80" i="8" l="1"/>
  <c r="N82" i="8"/>
  <c r="N84" i="8"/>
  <c r="F17" i="6"/>
  <c r="D79" i="6"/>
  <c r="J79" i="6" s="1"/>
  <c r="N83" i="8" l="1"/>
  <c r="N85" i="8"/>
  <c r="N86" i="8" s="1"/>
  <c r="N87" i="8"/>
  <c r="E10" i="8" s="1"/>
  <c r="U84" i="8" s="1"/>
  <c r="V84" i="8" l="1"/>
  <c r="T84" i="8"/>
  <c r="U83" i="8"/>
  <c r="U67" i="8"/>
  <c r="U69" i="8"/>
  <c r="U70" i="8"/>
  <c r="U68" i="8"/>
  <c r="U72" i="8"/>
  <c r="U75" i="8"/>
  <c r="U73" i="8"/>
  <c r="U71" i="8"/>
  <c r="U76" i="8"/>
  <c r="U78" i="8"/>
  <c r="U74" i="8"/>
  <c r="U81" i="8"/>
  <c r="U79" i="8"/>
  <c r="U77" i="8"/>
  <c r="U82" i="8"/>
  <c r="U80" i="8"/>
  <c r="U86" i="8"/>
  <c r="U87" i="8"/>
  <c r="N88" i="8"/>
  <c r="N89" i="8" s="1"/>
  <c r="N90" i="8"/>
  <c r="N91" i="8" s="1"/>
  <c r="N92" i="8" s="1"/>
  <c r="U85" i="8"/>
  <c r="G10" i="8"/>
  <c r="D18" i="6" s="1"/>
  <c r="D83" i="6" s="1"/>
  <c r="J83" i="6" s="1"/>
  <c r="V81" i="8" l="1"/>
  <c r="T81" i="8"/>
  <c r="V72" i="8"/>
  <c r="T72" i="8"/>
  <c r="V79" i="8"/>
  <c r="T79" i="8"/>
  <c r="V68" i="8"/>
  <c r="T68" i="8"/>
  <c r="V70" i="8"/>
  <c r="T70" i="8"/>
  <c r="T78" i="8"/>
  <c r="I45" i="6" s="1"/>
  <c r="M28" i="6" s="1"/>
  <c r="V78" i="8"/>
  <c r="V67" i="8"/>
  <c r="T67" i="8"/>
  <c r="V80" i="8"/>
  <c r="T80" i="8"/>
  <c r="V83" i="8"/>
  <c r="T83" i="8"/>
  <c r="V74" i="8"/>
  <c r="T74" i="8"/>
  <c r="T69" i="8"/>
  <c r="V69" i="8"/>
  <c r="V76" i="8"/>
  <c r="T76" i="8"/>
  <c r="V71" i="8"/>
  <c r="T71" i="8"/>
  <c r="V82" i="8"/>
  <c r="T82" i="8"/>
  <c r="V73" i="8"/>
  <c r="T73" i="8"/>
  <c r="V77" i="8"/>
  <c r="T77" i="8"/>
  <c r="V75" i="8"/>
  <c r="T75" i="8"/>
  <c r="N93" i="8"/>
  <c r="D26" i="6" s="1"/>
  <c r="F26" i="6" s="1"/>
  <c r="F18" i="6"/>
  <c r="D86" i="6"/>
  <c r="J86" i="6" s="1"/>
  <c r="F15" i="6"/>
  <c r="E11" i="8" l="1"/>
  <c r="U93" i="8" s="1"/>
  <c r="H10" i="8"/>
  <c r="I10" i="8" s="1"/>
  <c r="H11" i="8"/>
  <c r="U92" i="8" l="1"/>
  <c r="V92" i="8" s="1"/>
  <c r="U89" i="8"/>
  <c r="T89" i="8" s="1"/>
  <c r="G11" i="8"/>
  <c r="D19" i="6" s="1"/>
  <c r="D87" i="6" s="1"/>
  <c r="J87" i="6" s="1"/>
  <c r="U88" i="8"/>
  <c r="T88" i="8" s="1"/>
  <c r="U90" i="8"/>
  <c r="T90" i="8" s="1"/>
  <c r="U91" i="8"/>
  <c r="T91" i="8" s="1"/>
  <c r="I11" i="8"/>
  <c r="D35" i="6" s="1"/>
  <c r="D14" i="6"/>
  <c r="D82" i="6" s="1"/>
  <c r="D85" i="6" s="1"/>
  <c r="J85" i="6" s="1"/>
  <c r="T87" i="8"/>
  <c r="V87" i="8"/>
  <c r="T85" i="8"/>
  <c r="V85" i="8"/>
  <c r="T93" i="8"/>
  <c r="V93" i="8"/>
  <c r="T86" i="8"/>
  <c r="V86" i="8"/>
  <c r="V89" i="8" l="1"/>
  <c r="F19" i="6"/>
  <c r="V88" i="8"/>
  <c r="V91" i="8"/>
  <c r="T92" i="8"/>
  <c r="V90" i="8"/>
  <c r="F14" i="6"/>
  <c r="J82" i="6"/>
</calcChain>
</file>

<file path=xl/sharedStrings.xml><?xml version="1.0" encoding="utf-8"?>
<sst xmlns="http://schemas.openxmlformats.org/spreadsheetml/2006/main" count="288" uniqueCount="123">
  <si>
    <t>=</t>
  </si>
  <si>
    <t>L</t>
  </si>
  <si>
    <t>cu.ft.</t>
  </si>
  <si>
    <t>x</t>
  </si>
  <si>
    <t>y</t>
  </si>
  <si>
    <t>dX</t>
  </si>
  <si>
    <t>dY</t>
  </si>
  <si>
    <t>p</t>
  </si>
  <si>
    <t>Panels</t>
  </si>
  <si>
    <t>#</t>
  </si>
  <si>
    <t>(sides)</t>
  </si>
  <si>
    <t>(top, bottom)</t>
  </si>
  <si>
    <t>(back)</t>
  </si>
  <si>
    <t>3rd inside</t>
  </si>
  <si>
    <t>Thickness</t>
  </si>
  <si>
    <t>x (cm)</t>
  </si>
  <si>
    <t>y (cm)</t>
  </si>
  <si>
    <t>d</t>
  </si>
  <si>
    <t>S1</t>
  </si>
  <si>
    <t>S4</t>
  </si>
  <si>
    <t>l.</t>
  </si>
  <si>
    <t>cm.</t>
  </si>
  <si>
    <t>Vol. (net)</t>
  </si>
  <si>
    <t>Vol. (gross)</t>
  </si>
  <si>
    <t>cm^2</t>
  </si>
  <si>
    <t>Panel</t>
  </si>
  <si>
    <t>l</t>
  </si>
  <si>
    <t>1st inside</t>
  </si>
  <si>
    <t>Advanced Centerline</t>
  </si>
  <si>
    <t>Driver</t>
  </si>
  <si>
    <t>cm</t>
  </si>
  <si>
    <t>L12</t>
  </si>
  <si>
    <t>Frame Width</t>
  </si>
  <si>
    <t>Magnet Width</t>
  </si>
  <si>
    <t>Magnet Height</t>
  </si>
  <si>
    <t>Plot</t>
  </si>
  <si>
    <t>Delta</t>
  </si>
  <si>
    <t>Mounting Width</t>
  </si>
  <si>
    <t>Panel A</t>
  </si>
  <si>
    <t>Panel C</t>
  </si>
  <si>
    <t>Panel D</t>
  </si>
  <si>
    <t>Panel H</t>
  </si>
  <si>
    <t>Panel I</t>
  </si>
  <si>
    <t>Mounting Depth</t>
  </si>
  <si>
    <t>v</t>
  </si>
  <si>
    <t>(front)</t>
  </si>
  <si>
    <t>Panel E</t>
  </si>
  <si>
    <t>Cos</t>
  </si>
  <si>
    <t>Sin</t>
  </si>
  <si>
    <t>Path Calculations</t>
  </si>
  <si>
    <t>dS</t>
  </si>
  <si>
    <t>tan</t>
  </si>
  <si>
    <t>S2</t>
  </si>
  <si>
    <t>dx</t>
  </si>
  <si>
    <t>dy</t>
  </si>
  <si>
    <t>S</t>
  </si>
  <si>
    <t>Pnl Vol</t>
  </si>
  <si>
    <t>L (actual)</t>
  </si>
  <si>
    <t>d (external)</t>
  </si>
  <si>
    <t>h (external)</t>
  </si>
  <si>
    <t>w (external)</t>
  </si>
  <si>
    <t>w (internal)</t>
  </si>
  <si>
    <t>Panel B (center)</t>
  </si>
  <si>
    <t>(center)</t>
  </si>
  <si>
    <t>Version</t>
  </si>
  <si>
    <t>in</t>
  </si>
  <si>
    <t>in^2</t>
  </si>
  <si>
    <t>Horizontal Axis</t>
  </si>
  <si>
    <t>Vertical Axis</t>
  </si>
  <si>
    <t>Expansion 1</t>
  </si>
  <si>
    <t>Expansion 2</t>
  </si>
  <si>
    <t>Vertical Divider</t>
  </si>
  <si>
    <t>Panel F (baffle)</t>
  </si>
  <si>
    <t>Sample points</t>
  </si>
  <si>
    <t>S3</t>
  </si>
  <si>
    <t>W</t>
  </si>
  <si>
    <t>S5</t>
  </si>
  <si>
    <t>Internal Width</t>
  </si>
  <si>
    <t>p (cm)</t>
  </si>
  <si>
    <t>Horn Parameters</t>
  </si>
  <si>
    <t>L23</t>
  </si>
  <si>
    <t>L34</t>
  </si>
  <si>
    <t>L45</t>
  </si>
  <si>
    <t>S1 (csa)</t>
  </si>
  <si>
    <t>Err</t>
  </si>
  <si>
    <t>Error</t>
  </si>
  <si>
    <t>Filename</t>
  </si>
  <si>
    <t>I:\Users\Brian.Steele\OneDrive\Hornresp\Import\BOXPLAN.TXT</t>
  </si>
  <si>
    <t>ID</t>
  </si>
  <si>
    <t>29.00</t>
  </si>
  <si>
    <t>Ang</t>
  </si>
  <si>
    <t>2.0 x PI</t>
  </si>
  <si>
    <t>Eg</t>
  </si>
  <si>
    <t>Rg</t>
  </si>
  <si>
    <t>Fta</t>
  </si>
  <si>
    <t>Par</t>
  </si>
  <si>
    <t>F12</t>
  </si>
  <si>
    <t>F23</t>
  </si>
  <si>
    <t>F34</t>
  </si>
  <si>
    <t>F45</t>
  </si>
  <si>
    <t>Sd</t>
  </si>
  <si>
    <t>Bl</t>
  </si>
  <si>
    <t>Cms</t>
  </si>
  <si>
    <t>Rms</t>
  </si>
  <si>
    <t>Mmd</t>
  </si>
  <si>
    <t>Le</t>
  </si>
  <si>
    <t>Re</t>
  </si>
  <si>
    <t>TH</t>
  </si>
  <si>
    <t>Vrc</t>
  </si>
  <si>
    <t>Lrc</t>
  </si>
  <si>
    <t>Ap1</t>
  </si>
  <si>
    <t>Lp</t>
  </si>
  <si>
    <t>Vtc</t>
  </si>
  <si>
    <t>Atc</t>
  </si>
  <si>
    <t>Pmax</t>
  </si>
  <si>
    <t>Xmax</t>
  </si>
  <si>
    <t>Comment</t>
  </si>
  <si>
    <t>BOXPLAN-Export (7.2 Beta)</t>
  </si>
  <si>
    <t>Cone Volume</t>
  </si>
  <si>
    <t>cm^3</t>
  </si>
  <si>
    <t>Cone Vol. Adj. (S2)</t>
  </si>
  <si>
    <t>Cone Area Adj. (S2)</t>
  </si>
  <si>
    <t>S1, S2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</si>
</sst>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0"/>
  </numFmts>
  <fonts count="12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rgb="FF0000FF"/>
      <name val="Arial"/>
      <family val="2"/>
    </font>
    <font>
      <b/>
      <sz val="8"/>
      <color rgb="FFFF0000"/>
      <name val="Arial"/>
      <family val="2"/>
    </font>
    <font>
      <b/>
      <sz val="10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5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Alignment="1">
      <alignment horizontal="center"/>
    </xf>
    <xf numFmtId="0" fontId="2" fillId="0" borderId="1" xfId="0" applyFont="1" applyFill="1" applyBorder="1"/>
    <xf numFmtId="0" fontId="2" fillId="0" borderId="2" xfId="0" applyFont="1" applyFill="1" applyBorder="1"/>
    <xf numFmtId="164" fontId="2" fillId="0" borderId="3" xfId="0" applyNumberFormat="1" applyFont="1" applyFill="1" applyBorder="1"/>
    <xf numFmtId="0" fontId="2" fillId="4" borderId="9" xfId="0" applyFont="1" applyFill="1" applyBorder="1"/>
    <xf numFmtId="0" fontId="2" fillId="4" borderId="0" xfId="0" applyFont="1" applyFill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2" fontId="5" fillId="0" borderId="0" xfId="0" applyNumberFormat="1" applyFont="1"/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4" fillId="0" borderId="1" xfId="0" applyFont="1" applyBorder="1"/>
    <xf numFmtId="0" fontId="4" fillId="0" borderId="2" xfId="0" applyFont="1" applyBorder="1"/>
    <xf numFmtId="164" fontId="6" fillId="0" borderId="3" xfId="0" applyNumberFormat="1" applyFont="1" applyBorder="1"/>
    <xf numFmtId="0" fontId="4" fillId="2" borderId="2" xfId="0" applyFont="1" applyFill="1" applyBorder="1"/>
    <xf numFmtId="0" fontId="4" fillId="2" borderId="3" xfId="0" applyFont="1" applyFill="1" applyBorder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6" fillId="0" borderId="3" xfId="0" applyFont="1" applyBorder="1"/>
    <xf numFmtId="0" fontId="4" fillId="3" borderId="5" xfId="0" applyFont="1" applyFill="1" applyBorder="1"/>
    <xf numFmtId="0" fontId="5" fillId="3" borderId="6" xfId="0" applyFont="1" applyFill="1" applyBorder="1"/>
    <xf numFmtId="164" fontId="5" fillId="3" borderId="6" xfId="0" applyNumberFormat="1" applyFont="1" applyFill="1" applyBorder="1" applyAlignment="1">
      <alignment horizontal="center"/>
    </xf>
    <xf numFmtId="164" fontId="5" fillId="3" borderId="6" xfId="0" applyNumberFormat="1" applyFont="1" applyFill="1" applyBorder="1" applyAlignment="1"/>
    <xf numFmtId="0" fontId="5" fillId="3" borderId="6" xfId="0" applyFont="1" applyFill="1" applyBorder="1" applyAlignment="1">
      <alignment horizontal="center"/>
    </xf>
    <xf numFmtId="164" fontId="5" fillId="3" borderId="7" xfId="0" applyNumberFormat="1" applyFont="1" applyFill="1" applyBorder="1" applyAlignment="1"/>
    <xf numFmtId="0" fontId="4" fillId="2" borderId="8" xfId="0" applyFont="1" applyFill="1" applyBorder="1" applyAlignment="1">
      <alignment horizontal="center"/>
    </xf>
    <xf numFmtId="0" fontId="5" fillId="3" borderId="9" xfId="0" applyFont="1" applyFill="1" applyBorder="1"/>
    <xf numFmtId="0" fontId="5" fillId="3" borderId="0" xfId="0" applyFont="1" applyFill="1" applyBorder="1"/>
    <xf numFmtId="164" fontId="5" fillId="3" borderId="0" xfId="0" applyNumberFormat="1" applyFont="1" applyFill="1" applyBorder="1" applyAlignment="1">
      <alignment horizontal="center"/>
    </xf>
    <xf numFmtId="164" fontId="5" fillId="3" borderId="0" xfId="0" applyNumberFormat="1" applyFont="1" applyFill="1" applyBorder="1" applyAlignment="1"/>
    <xf numFmtId="0" fontId="5" fillId="3" borderId="0" xfId="0" applyFont="1" applyFill="1" applyBorder="1" applyAlignment="1">
      <alignment horizontal="center"/>
    </xf>
    <xf numFmtId="164" fontId="5" fillId="3" borderId="10" xfId="0" applyNumberFormat="1" applyFont="1" applyFill="1" applyBorder="1" applyAlignment="1"/>
    <xf numFmtId="0" fontId="4" fillId="0" borderId="11" xfId="0" applyFont="1" applyBorder="1"/>
    <xf numFmtId="0" fontId="4" fillId="0" borderId="12" xfId="0" applyFont="1" applyBorder="1"/>
    <xf numFmtId="164" fontId="6" fillId="0" borderId="13" xfId="0" applyNumberFormat="1" applyFont="1" applyBorder="1"/>
    <xf numFmtId="0" fontId="4" fillId="2" borderId="14" xfId="0" applyFont="1" applyFill="1" applyBorder="1"/>
    <xf numFmtId="0" fontId="4" fillId="2" borderId="15" xfId="0" applyFont="1" applyFill="1" applyBorder="1"/>
    <xf numFmtId="0" fontId="4" fillId="2" borderId="16" xfId="0" applyFont="1" applyFill="1" applyBorder="1"/>
    <xf numFmtId="0" fontId="5" fillId="3" borderId="17" xfId="0" applyFont="1" applyFill="1" applyBorder="1"/>
    <xf numFmtId="0" fontId="5" fillId="3" borderId="18" xfId="0" applyFont="1" applyFill="1" applyBorder="1"/>
    <xf numFmtId="164" fontId="5" fillId="3" borderId="18" xfId="0" applyNumberFormat="1" applyFont="1" applyFill="1" applyBorder="1" applyAlignment="1">
      <alignment horizontal="center"/>
    </xf>
    <xf numFmtId="164" fontId="5" fillId="3" borderId="18" xfId="0" applyNumberFormat="1" applyFont="1" applyFill="1" applyBorder="1" applyAlignment="1"/>
    <xf numFmtId="0" fontId="5" fillId="3" borderId="19" xfId="0" applyFont="1" applyFill="1" applyBorder="1"/>
    <xf numFmtId="164" fontId="4" fillId="0" borderId="3" xfId="0" applyNumberFormat="1" applyFont="1" applyBorder="1"/>
    <xf numFmtId="0" fontId="4" fillId="0" borderId="14" xfId="0" applyFont="1" applyBorder="1"/>
    <xf numFmtId="0" fontId="4" fillId="0" borderId="15" xfId="0" applyFont="1" applyBorder="1"/>
    <xf numFmtId="164" fontId="6" fillId="0" borderId="16" xfId="0" applyNumberFormat="1" applyFont="1" applyBorder="1"/>
    <xf numFmtId="0" fontId="5" fillId="0" borderId="2" xfId="0" applyFont="1" applyBorder="1"/>
    <xf numFmtId="0" fontId="5" fillId="0" borderId="0" xfId="0" applyFont="1" applyBorder="1"/>
    <xf numFmtId="0" fontId="4" fillId="0" borderId="1" xfId="0" applyFont="1" applyFill="1" applyBorder="1"/>
    <xf numFmtId="0" fontId="4" fillId="0" borderId="2" xfId="0" applyFont="1" applyFill="1" applyBorder="1"/>
    <xf numFmtId="164" fontId="4" fillId="0" borderId="3" xfId="0" applyNumberFormat="1" applyFont="1" applyFill="1" applyBorder="1"/>
    <xf numFmtId="0" fontId="4" fillId="4" borderId="5" xfId="0" applyFont="1" applyFill="1" applyBorder="1"/>
    <xf numFmtId="0" fontId="4" fillId="4" borderId="6" xfId="0" applyFont="1" applyFill="1" applyBorder="1"/>
    <xf numFmtId="1" fontId="4" fillId="4" borderId="6" xfId="0" applyNumberFormat="1" applyFont="1" applyFill="1" applyBorder="1"/>
    <xf numFmtId="0" fontId="8" fillId="4" borderId="6" xfId="0" applyFont="1" applyFill="1" applyBorder="1"/>
    <xf numFmtId="2" fontId="4" fillId="4" borderId="6" xfId="0" applyNumberFormat="1" applyFont="1" applyFill="1" applyBorder="1"/>
    <xf numFmtId="0" fontId="5" fillId="4" borderId="6" xfId="0" applyFont="1" applyFill="1" applyBorder="1"/>
    <xf numFmtId="0" fontId="5" fillId="4" borderId="7" xfId="0" applyFont="1" applyFill="1" applyBorder="1"/>
    <xf numFmtId="0" fontId="4" fillId="4" borderId="9" xfId="0" applyFont="1" applyFill="1" applyBorder="1"/>
    <xf numFmtId="0" fontId="4" fillId="4" borderId="0" xfId="0" applyFont="1" applyFill="1" applyBorder="1"/>
    <xf numFmtId="1" fontId="4" fillId="4" borderId="0" xfId="0" applyNumberFormat="1" applyFont="1" applyFill="1" applyBorder="1"/>
    <xf numFmtId="0" fontId="8" fillId="4" borderId="0" xfId="0" applyFont="1" applyFill="1" applyBorder="1"/>
    <xf numFmtId="2" fontId="4" fillId="4" borderId="0" xfId="0" applyNumberFormat="1" applyFont="1" applyFill="1" applyBorder="1"/>
    <xf numFmtId="0" fontId="5" fillId="4" borderId="0" xfId="0" applyFont="1" applyFill="1" applyBorder="1"/>
    <xf numFmtId="0" fontId="5" fillId="4" borderId="10" xfId="0" applyFont="1" applyFill="1" applyBorder="1"/>
    <xf numFmtId="0" fontId="5" fillId="4" borderId="9" xfId="0" applyFont="1" applyFill="1" applyBorder="1"/>
    <xf numFmtId="0" fontId="4" fillId="4" borderId="0" xfId="0" applyFont="1" applyFill="1" applyBorder="1" applyAlignment="1">
      <alignment horizontal="center"/>
    </xf>
    <xf numFmtId="0" fontId="4" fillId="4" borderId="10" xfId="0" applyFont="1" applyFill="1" applyBorder="1"/>
    <xf numFmtId="164" fontId="4" fillId="4" borderId="0" xfId="0" applyNumberFormat="1" applyFont="1" applyFill="1" applyBorder="1" applyAlignment="1">
      <alignment horizontal="center"/>
    </xf>
    <xf numFmtId="164" fontId="8" fillId="4" borderId="0" xfId="0" applyNumberFormat="1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164" fontId="8" fillId="4" borderId="0" xfId="0" applyNumberFormat="1" applyFont="1" applyFill="1" applyBorder="1"/>
    <xf numFmtId="164" fontId="6" fillId="0" borderId="23" xfId="0" applyNumberFormat="1" applyFont="1" applyFill="1" applyBorder="1" applyAlignment="1">
      <alignment horizontal="center"/>
    </xf>
    <xf numFmtId="0" fontId="8" fillId="4" borderId="10" xfId="0" applyFont="1" applyFill="1" applyBorder="1"/>
    <xf numFmtId="0" fontId="5" fillId="3" borderId="18" xfId="0" applyFont="1" applyFill="1" applyBorder="1" applyAlignment="1">
      <alignment horizontal="center"/>
    </xf>
    <xf numFmtId="0" fontId="4" fillId="4" borderId="17" xfId="0" applyFont="1" applyFill="1" applyBorder="1"/>
    <xf numFmtId="0" fontId="5" fillId="4" borderId="18" xfId="0" applyFont="1" applyFill="1" applyBorder="1"/>
    <xf numFmtId="164" fontId="4" fillId="4" borderId="18" xfId="0" applyNumberFormat="1" applyFont="1" applyFill="1" applyBorder="1" applyAlignment="1">
      <alignment horizontal="center"/>
    </xf>
    <xf numFmtId="0" fontId="4" fillId="4" borderId="18" xfId="0" applyFont="1" applyFill="1" applyBorder="1"/>
    <xf numFmtId="164" fontId="4" fillId="4" borderId="18" xfId="0" applyNumberFormat="1" applyFont="1" applyFill="1" applyBorder="1"/>
    <xf numFmtId="0" fontId="5" fillId="4" borderId="19" xfId="0" applyFont="1" applyFill="1" applyBorder="1"/>
    <xf numFmtId="0" fontId="4" fillId="5" borderId="5" xfId="0" applyFont="1" applyFill="1" applyBorder="1"/>
    <xf numFmtId="0" fontId="5" fillId="5" borderId="6" xfId="0" applyFont="1" applyFill="1" applyBorder="1"/>
    <xf numFmtId="164" fontId="5" fillId="5" borderId="6" xfId="0" applyNumberFormat="1" applyFont="1" applyFill="1" applyBorder="1" applyAlignment="1"/>
    <xf numFmtId="0" fontId="5" fillId="5" borderId="6" xfId="0" applyFont="1" applyFill="1" applyBorder="1" applyAlignment="1">
      <alignment horizontal="center"/>
    </xf>
    <xf numFmtId="164" fontId="5" fillId="5" borderId="6" xfId="0" applyNumberFormat="1" applyFont="1" applyFill="1" applyBorder="1" applyAlignment="1">
      <alignment horizontal="center"/>
    </xf>
    <xf numFmtId="164" fontId="5" fillId="5" borderId="7" xfId="0" applyNumberFormat="1" applyFont="1" applyFill="1" applyBorder="1" applyAlignment="1"/>
    <xf numFmtId="0" fontId="5" fillId="5" borderId="9" xfId="0" applyFont="1" applyFill="1" applyBorder="1"/>
    <xf numFmtId="0" fontId="5" fillId="5" borderId="0" xfId="0" applyFont="1" applyFill="1" applyBorder="1"/>
    <xf numFmtId="164" fontId="5" fillId="5" borderId="0" xfId="0" applyNumberFormat="1" applyFont="1" applyFill="1" applyBorder="1"/>
    <xf numFmtId="164" fontId="5" fillId="5" borderId="0" xfId="0" applyNumberFormat="1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164" fontId="5" fillId="5" borderId="0" xfId="0" applyNumberFormat="1" applyFont="1" applyFill="1" applyBorder="1" applyAlignment="1"/>
    <xf numFmtId="164" fontId="5" fillId="5" borderId="10" xfId="0" applyNumberFormat="1" applyFont="1" applyFill="1" applyBorder="1" applyAlignment="1"/>
    <xf numFmtId="0" fontId="5" fillId="5" borderId="17" xfId="0" applyFont="1" applyFill="1" applyBorder="1"/>
    <xf numFmtId="0" fontId="5" fillId="5" borderId="18" xfId="0" applyFont="1" applyFill="1" applyBorder="1"/>
    <xf numFmtId="164" fontId="5" fillId="5" borderId="18" xfId="0" applyNumberFormat="1" applyFont="1" applyFill="1" applyBorder="1"/>
    <xf numFmtId="164" fontId="5" fillId="5" borderId="18" xfId="0" applyNumberFormat="1" applyFont="1" applyFill="1" applyBorder="1" applyAlignment="1">
      <alignment horizontal="center"/>
    </xf>
    <xf numFmtId="164" fontId="5" fillId="5" borderId="18" xfId="0" applyNumberFormat="1" applyFont="1" applyFill="1" applyBorder="1" applyAlignment="1"/>
    <xf numFmtId="0" fontId="5" fillId="5" borderId="19" xfId="0" applyFont="1" applyFill="1" applyBorder="1"/>
    <xf numFmtId="0" fontId="8" fillId="0" borderId="0" xfId="0" applyFont="1"/>
    <xf numFmtId="164" fontId="5" fillId="0" borderId="0" xfId="0" applyNumberFormat="1" applyFont="1"/>
    <xf numFmtId="0" fontId="8" fillId="5" borderId="6" xfId="0" applyFont="1" applyFill="1" applyBorder="1"/>
    <xf numFmtId="164" fontId="8" fillId="5" borderId="6" xfId="0" applyNumberFormat="1" applyFont="1" applyFill="1" applyBorder="1" applyAlignment="1"/>
    <xf numFmtId="0" fontId="8" fillId="5" borderId="6" xfId="0" applyFont="1" applyFill="1" applyBorder="1" applyAlignment="1">
      <alignment horizontal="center"/>
    </xf>
    <xf numFmtId="164" fontId="8" fillId="5" borderId="6" xfId="0" applyNumberFormat="1" applyFont="1" applyFill="1" applyBorder="1" applyAlignment="1">
      <alignment horizontal="center"/>
    </xf>
    <xf numFmtId="164" fontId="8" fillId="5" borderId="7" xfId="0" applyNumberFormat="1" applyFont="1" applyFill="1" applyBorder="1" applyAlignment="1"/>
    <xf numFmtId="0" fontId="8" fillId="5" borderId="9" xfId="0" applyFont="1" applyFill="1" applyBorder="1"/>
    <xf numFmtId="0" fontId="8" fillId="5" borderId="0" xfId="0" applyFont="1" applyFill="1" applyBorder="1"/>
    <xf numFmtId="164" fontId="8" fillId="5" borderId="0" xfId="0" applyNumberFormat="1" applyFont="1" applyFill="1" applyBorder="1" applyAlignment="1"/>
    <xf numFmtId="0" fontId="8" fillId="5" borderId="0" xfId="0" applyFont="1" applyFill="1" applyBorder="1" applyAlignment="1">
      <alignment horizontal="center"/>
    </xf>
    <xf numFmtId="164" fontId="8" fillId="5" borderId="0" xfId="0" applyNumberFormat="1" applyFont="1" applyFill="1" applyBorder="1" applyAlignment="1">
      <alignment horizontal="center"/>
    </xf>
    <xf numFmtId="164" fontId="8" fillId="5" borderId="10" xfId="0" applyNumberFormat="1" applyFont="1" applyFill="1" applyBorder="1" applyAlignment="1"/>
    <xf numFmtId="0" fontId="8" fillId="5" borderId="17" xfId="0" applyFont="1" applyFill="1" applyBorder="1"/>
    <xf numFmtId="0" fontId="8" fillId="5" borderId="18" xfId="0" applyFont="1" applyFill="1" applyBorder="1"/>
    <xf numFmtId="164" fontId="8" fillId="5" borderId="18" xfId="0" applyNumberFormat="1" applyFont="1" applyFill="1" applyBorder="1"/>
    <xf numFmtId="164" fontId="8" fillId="5" borderId="18" xfId="0" applyNumberFormat="1" applyFont="1" applyFill="1" applyBorder="1" applyAlignment="1">
      <alignment horizontal="center"/>
    </xf>
    <xf numFmtId="164" fontId="8" fillId="5" borderId="18" xfId="0" applyNumberFormat="1" applyFont="1" applyFill="1" applyBorder="1" applyAlignment="1"/>
    <xf numFmtId="0" fontId="8" fillId="5" borderId="19" xfId="0" applyFont="1" applyFill="1" applyBorder="1"/>
    <xf numFmtId="1" fontId="4" fillId="0" borderId="0" xfId="0" applyNumberFormat="1" applyFont="1"/>
    <xf numFmtId="164" fontId="4" fillId="0" borderId="0" xfId="0" applyNumberFormat="1" applyFont="1"/>
    <xf numFmtId="164" fontId="4" fillId="0" borderId="24" xfId="0" applyNumberFormat="1" applyFont="1" applyBorder="1"/>
    <xf numFmtId="0" fontId="4" fillId="9" borderId="5" xfId="0" applyFont="1" applyFill="1" applyBorder="1"/>
    <xf numFmtId="0" fontId="8" fillId="9" borderId="6" xfId="0" applyFont="1" applyFill="1" applyBorder="1"/>
    <xf numFmtId="164" fontId="8" fillId="9" borderId="6" xfId="0" applyNumberFormat="1" applyFont="1" applyFill="1" applyBorder="1" applyAlignment="1"/>
    <xf numFmtId="0" fontId="8" fillId="9" borderId="6" xfId="0" applyFont="1" applyFill="1" applyBorder="1" applyAlignment="1">
      <alignment horizontal="center"/>
    </xf>
    <xf numFmtId="164" fontId="8" fillId="9" borderId="6" xfId="0" applyNumberFormat="1" applyFont="1" applyFill="1" applyBorder="1" applyAlignment="1">
      <alignment horizontal="center"/>
    </xf>
    <xf numFmtId="164" fontId="8" fillId="9" borderId="7" xfId="0" applyNumberFormat="1" applyFont="1" applyFill="1" applyBorder="1" applyAlignment="1"/>
    <xf numFmtId="0" fontId="8" fillId="9" borderId="17" xfId="0" applyFont="1" applyFill="1" applyBorder="1"/>
    <xf numFmtId="0" fontId="8" fillId="9" borderId="18" xfId="0" applyFont="1" applyFill="1" applyBorder="1"/>
    <xf numFmtId="164" fontId="8" fillId="9" borderId="18" xfId="0" applyNumberFormat="1" applyFont="1" applyFill="1" applyBorder="1"/>
    <xf numFmtId="164" fontId="8" fillId="9" borderId="18" xfId="0" applyNumberFormat="1" applyFont="1" applyFill="1" applyBorder="1" applyAlignment="1">
      <alignment horizontal="center"/>
    </xf>
    <xf numFmtId="164" fontId="8" fillId="9" borderId="18" xfId="0" applyNumberFormat="1" applyFont="1" applyFill="1" applyBorder="1" applyAlignment="1"/>
    <xf numFmtId="0" fontId="8" fillId="9" borderId="19" xfId="0" applyFont="1" applyFill="1" applyBorder="1"/>
    <xf numFmtId="2" fontId="4" fillId="0" borderId="24" xfId="0" applyNumberFormat="1" applyFont="1" applyBorder="1"/>
    <xf numFmtId="0" fontId="0" fillId="0" borderId="0" xfId="0" applyAlignment="1">
      <alignment horizontal="center"/>
    </xf>
    <xf numFmtId="164" fontId="5" fillId="3" borderId="6" xfId="0" applyNumberFormat="1" applyFont="1" applyFill="1" applyBorder="1" applyAlignment="1">
      <alignment horizontal="right"/>
    </xf>
    <xf numFmtId="164" fontId="5" fillId="3" borderId="0" xfId="0" applyNumberFormat="1" applyFont="1" applyFill="1" applyBorder="1" applyAlignment="1">
      <alignment horizontal="right"/>
    </xf>
    <xf numFmtId="164" fontId="5" fillId="3" borderId="18" xfId="0" applyNumberFormat="1" applyFont="1" applyFill="1" applyBorder="1" applyAlignment="1">
      <alignment horizontal="right"/>
    </xf>
    <xf numFmtId="0" fontId="5" fillId="0" borderId="0" xfId="0" applyFont="1" applyAlignment="1">
      <alignment horizontal="right"/>
    </xf>
    <xf numFmtId="2" fontId="8" fillId="0" borderId="0" xfId="0" applyNumberFormat="1" applyFont="1"/>
    <xf numFmtId="164" fontId="8" fillId="6" borderId="5" xfId="0" applyNumberFormat="1" applyFont="1" applyFill="1" applyBorder="1"/>
    <xf numFmtId="164" fontId="8" fillId="6" borderId="6" xfId="0" applyNumberFormat="1" applyFont="1" applyFill="1" applyBorder="1"/>
    <xf numFmtId="0" fontId="8" fillId="6" borderId="6" xfId="0" applyFont="1" applyFill="1" applyBorder="1"/>
    <xf numFmtId="0" fontId="8" fillId="6" borderId="7" xfId="0" applyFont="1" applyFill="1" applyBorder="1"/>
    <xf numFmtId="164" fontId="8" fillId="6" borderId="9" xfId="0" applyNumberFormat="1" applyFont="1" applyFill="1" applyBorder="1"/>
    <xf numFmtId="164" fontId="8" fillId="6" borderId="0" xfId="0" applyNumberFormat="1" applyFont="1" applyFill="1" applyBorder="1"/>
    <xf numFmtId="0" fontId="8" fillId="6" borderId="0" xfId="0" applyFont="1" applyFill="1" applyBorder="1"/>
    <xf numFmtId="0" fontId="8" fillId="6" borderId="10" xfId="0" applyFont="1" applyFill="1" applyBorder="1"/>
    <xf numFmtId="0" fontId="8" fillId="6" borderId="17" xfId="0" applyFont="1" applyFill="1" applyBorder="1" applyAlignment="1">
      <alignment horizontal="center"/>
    </xf>
    <xf numFmtId="0" fontId="8" fillId="6" borderId="18" xfId="0" applyFont="1" applyFill="1" applyBorder="1" applyAlignment="1">
      <alignment horizontal="center"/>
    </xf>
    <xf numFmtId="164" fontId="8" fillId="6" borderId="18" xfId="0" applyNumberFormat="1" applyFont="1" applyFill="1" applyBorder="1" applyAlignment="1">
      <alignment horizontal="center"/>
    </xf>
    <xf numFmtId="164" fontId="8" fillId="6" borderId="18" xfId="0" applyNumberFormat="1" applyFont="1" applyFill="1" applyBorder="1"/>
    <xf numFmtId="1" fontId="8" fillId="6" borderId="18" xfId="0" applyNumberFormat="1" applyFont="1" applyFill="1" applyBorder="1"/>
    <xf numFmtId="1" fontId="8" fillId="6" borderId="19" xfId="0" applyNumberFormat="1" applyFont="1" applyFill="1" applyBorder="1"/>
    <xf numFmtId="1" fontId="8" fillId="0" borderId="0" xfId="0" applyNumberFormat="1" applyFont="1"/>
    <xf numFmtId="1" fontId="8" fillId="6" borderId="7" xfId="0" applyNumberFormat="1" applyFont="1" applyFill="1" applyBorder="1"/>
    <xf numFmtId="1" fontId="8" fillId="6" borderId="10" xfId="0" applyNumberFormat="1" applyFont="1" applyFill="1" applyBorder="1"/>
    <xf numFmtId="0" fontId="8" fillId="6" borderId="17" xfId="0" applyFont="1" applyFill="1" applyBorder="1"/>
    <xf numFmtId="0" fontId="8" fillId="6" borderId="18" xfId="0" applyFont="1" applyFill="1" applyBorder="1"/>
    <xf numFmtId="0" fontId="8" fillId="6" borderId="9" xfId="0" applyFont="1" applyFill="1" applyBorder="1"/>
    <xf numFmtId="0" fontId="8" fillId="6" borderId="0" xfId="0" applyFont="1" applyFill="1" applyBorder="1" applyAlignment="1">
      <alignment horizontal="center"/>
    </xf>
    <xf numFmtId="164" fontId="8" fillId="6" borderId="0" xfId="0" applyNumberFormat="1" applyFont="1" applyFill="1" applyBorder="1" applyAlignment="1">
      <alignment horizontal="center"/>
    </xf>
    <xf numFmtId="164" fontId="3" fillId="0" borderId="0" xfId="0" applyNumberFormat="1" applyFont="1"/>
    <xf numFmtId="1" fontId="3" fillId="0" borderId="0" xfId="0" applyNumberFormat="1" applyFont="1"/>
    <xf numFmtId="0" fontId="3" fillId="0" borderId="0" xfId="0" applyFont="1" applyAlignment="1">
      <alignment horizontal="center"/>
    </xf>
    <xf numFmtId="0" fontId="2" fillId="6" borderId="0" xfId="0" applyFont="1" applyFill="1" applyBorder="1" applyAlignment="1">
      <alignment horizontal="center"/>
    </xf>
    <xf numFmtId="164" fontId="4" fillId="4" borderId="0" xfId="0" applyNumberFormat="1" applyFont="1" applyFill="1" applyBorder="1"/>
    <xf numFmtId="1" fontId="8" fillId="8" borderId="0" xfId="0" applyNumberFormat="1" applyFont="1" applyFill="1"/>
    <xf numFmtId="164" fontId="8" fillId="8" borderId="0" xfId="0" applyNumberFormat="1" applyFont="1" applyFill="1"/>
    <xf numFmtId="0" fontId="8" fillId="10" borderId="0" xfId="0" applyFont="1" applyFill="1"/>
    <xf numFmtId="1" fontId="8" fillId="10" borderId="0" xfId="0" applyNumberFormat="1" applyFont="1" applyFill="1"/>
    <xf numFmtId="164" fontId="8" fillId="10" borderId="0" xfId="0" applyNumberFormat="1" applyFont="1" applyFill="1"/>
    <xf numFmtId="164" fontId="5" fillId="4" borderId="24" xfId="0" applyNumberFormat="1" applyFont="1" applyFill="1" applyBorder="1"/>
    <xf numFmtId="0" fontId="3" fillId="11" borderId="25" xfId="0" applyFont="1" applyFill="1" applyBorder="1"/>
    <xf numFmtId="0" fontId="3" fillId="11" borderId="23" xfId="0" applyFont="1" applyFill="1" applyBorder="1"/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left"/>
    </xf>
    <xf numFmtId="164" fontId="4" fillId="0" borderId="13" xfId="0" applyNumberFormat="1" applyFont="1" applyBorder="1"/>
    <xf numFmtId="164" fontId="8" fillId="4" borderId="0" xfId="0" applyNumberFormat="1" applyFont="1" applyFill="1" applyBorder="1" applyAlignment="1">
      <alignment horizontal="right"/>
    </xf>
    <xf numFmtId="164" fontId="9" fillId="0" borderId="3" xfId="0" applyNumberFormat="1" applyFont="1" applyBorder="1" applyProtection="1">
      <protection locked="0"/>
    </xf>
    <xf numFmtId="0" fontId="3" fillId="0" borderId="2" xfId="0" applyFont="1" applyBorder="1"/>
    <xf numFmtId="2" fontId="10" fillId="7" borderId="24" xfId="0" applyNumberFormat="1" applyFont="1" applyFill="1" applyBorder="1"/>
    <xf numFmtId="1" fontId="4" fillId="0" borderId="3" xfId="0" applyNumberFormat="1" applyFont="1" applyBorder="1"/>
    <xf numFmtId="0" fontId="2" fillId="2" borderId="2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21" xfId="0" applyFont="1" applyFill="1" applyBorder="1" applyAlignment="1"/>
    <xf numFmtId="0" fontId="2" fillId="2" borderId="1" xfId="0" applyFont="1" applyFill="1" applyBorder="1"/>
    <xf numFmtId="0" fontId="2" fillId="2" borderId="11" xfId="0" applyFont="1" applyFill="1" applyBorder="1" applyAlignment="1"/>
    <xf numFmtId="0" fontId="7" fillId="12" borderId="0" xfId="0" applyFont="1" applyFill="1" applyBorder="1" applyAlignment="1"/>
    <xf numFmtId="0" fontId="7" fillId="12" borderId="22" xfId="0" applyFont="1" applyFill="1" applyBorder="1" applyAlignment="1"/>
    <xf numFmtId="0" fontId="7" fillId="12" borderId="12" xfId="0" applyFont="1" applyFill="1" applyBorder="1" applyAlignment="1"/>
    <xf numFmtId="0" fontId="7" fillId="12" borderId="13" xfId="0" applyFont="1" applyFill="1" applyBorder="1" applyAlignment="1"/>
    <xf numFmtId="1" fontId="8" fillId="13" borderId="0" xfId="0" applyNumberFormat="1" applyFont="1" applyFill="1"/>
    <xf numFmtId="164" fontId="8" fillId="13" borderId="0" xfId="0" applyNumberFormat="1" applyFont="1" applyFill="1"/>
    <xf numFmtId="0" fontId="9" fillId="0" borderId="25" xfId="0" quotePrefix="1" applyFont="1" applyBorder="1" applyAlignment="1" applyProtection="1">
      <protection locked="0"/>
    </xf>
    <xf numFmtId="0" fontId="3" fillId="0" borderId="26" xfId="0" applyFont="1" applyBorder="1" applyAlignment="1" applyProtection="1">
      <protection locked="0"/>
    </xf>
    <xf numFmtId="0" fontId="3" fillId="0" borderId="27" xfId="0" applyFont="1" applyBorder="1" applyAlignment="1" applyProtection="1">
      <protection locked="0"/>
    </xf>
    <xf numFmtId="0" fontId="3" fillId="11" borderId="25" xfId="0" quotePrefix="1" applyFont="1" applyFill="1" applyBorder="1" applyAlignment="1"/>
    <xf numFmtId="0" fontId="3" fillId="0" borderId="26" xfId="0" applyFont="1" applyBorder="1" applyAlignment="1"/>
    <xf numFmtId="0" fontId="3" fillId="0" borderId="27" xfId="0" applyFont="1" applyBorder="1" applyAlignment="1"/>
    <xf numFmtId="164" fontId="3" fillId="11" borderId="25" xfId="0" quotePrefix="1" applyNumberFormat="1" applyFont="1" applyFill="1" applyBorder="1" applyAlignment="1"/>
    <xf numFmtId="1" fontId="3" fillId="11" borderId="25" xfId="0" quotePrefix="1" applyNumberFormat="1" applyFont="1" applyFill="1" applyBorder="1" applyAlignment="1"/>
    <xf numFmtId="1" fontId="3" fillId="0" borderId="26" xfId="0" applyNumberFormat="1" applyFont="1" applyBorder="1" applyAlignment="1"/>
    <xf numFmtId="1" fontId="3" fillId="0" borderId="27" xfId="0" applyNumberFormat="1" applyFont="1" applyBorder="1" applyAlignment="1"/>
    <xf numFmtId="165" fontId="9" fillId="0" borderId="25" xfId="0" quotePrefix="1" applyNumberFormat="1" applyFont="1" applyBorder="1" applyAlignment="1" applyProtection="1">
      <protection locked="0"/>
    </xf>
    <xf numFmtId="165" fontId="3" fillId="0" borderId="26" xfId="0" applyNumberFormat="1" applyFont="1" applyBorder="1" applyAlignment="1" applyProtection="1">
      <protection locked="0"/>
    </xf>
    <xf numFmtId="165" fontId="3" fillId="0" borderId="27" xfId="0" applyNumberFormat="1" applyFont="1" applyBorder="1" applyAlignment="1" applyProtection="1">
      <protection locked="0"/>
    </xf>
    <xf numFmtId="0" fontId="2" fillId="2" borderId="21" xfId="0" applyFont="1" applyFill="1" applyBorder="1" applyAlignment="1"/>
    <xf numFmtId="0" fontId="7" fillId="0" borderId="0" xfId="0" applyFont="1" applyBorder="1" applyAlignment="1"/>
    <xf numFmtId="0" fontId="7" fillId="0" borderId="22" xfId="0" applyFont="1" applyBorder="1" applyAlignment="1"/>
    <xf numFmtId="0" fontId="4" fillId="2" borderId="21" xfId="0" applyFont="1" applyFill="1" applyBorder="1" applyAlignment="1"/>
    <xf numFmtId="0" fontId="9" fillId="0" borderId="25" xfId="0" applyFont="1" applyBorder="1" applyAlignment="1" applyProtection="1">
      <protection locked="0"/>
    </xf>
    <xf numFmtId="2" fontId="3" fillId="11" borderId="25" xfId="0" quotePrefix="1" applyNumberFormat="1" applyFont="1" applyFill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9" fillId="0" borderId="25" xfId="0" quotePrefix="1" applyNumberFormat="1" applyFont="1" applyBorder="1" applyAlignment="1" applyProtection="1">
      <alignment horizontal="right"/>
      <protection locked="0"/>
    </xf>
    <xf numFmtId="0" fontId="3" fillId="0" borderId="26" xfId="0" applyFont="1" applyBorder="1" applyAlignment="1" applyProtection="1">
      <alignment horizontal="right"/>
      <protection locked="0"/>
    </xf>
    <xf numFmtId="0" fontId="3" fillId="0" borderId="27" xfId="0" applyFont="1" applyBorder="1" applyAlignment="1" applyProtection="1">
      <alignment horizontal="right"/>
      <protection locked="0"/>
    </xf>
    <xf numFmtId="0" fontId="4" fillId="2" borderId="15" xfId="0" applyFont="1" applyFill="1" applyBorder="1" applyAlignment="1"/>
    <xf numFmtId="0" fontId="7" fillId="0" borderId="15" xfId="0" applyFont="1" applyBorder="1" applyAlignment="1"/>
    <xf numFmtId="0" fontId="7" fillId="0" borderId="16" xfId="0" applyFont="1" applyBorder="1" applyAlignment="1"/>
    <xf numFmtId="0" fontId="4" fillId="2" borderId="13" xfId="0" applyFont="1" applyFill="1" applyBorder="1" applyAlignment="1"/>
    <xf numFmtId="0" fontId="7" fillId="0" borderId="8" xfId="0" applyFont="1" applyBorder="1" applyAlignment="1"/>
    <xf numFmtId="0" fontId="4" fillId="2" borderId="14" xfId="0" applyFont="1" applyFill="1" applyBorder="1" applyAlignment="1"/>
    <xf numFmtId="0" fontId="4" fillId="2" borderId="22" xfId="0" applyFont="1" applyFill="1" applyBorder="1" applyAlignment="1"/>
    <xf numFmtId="0" fontId="7" fillId="0" borderId="4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029"/>
              <a:t>Horn Expansion</a:t>
            </a:r>
          </a:p>
        </c:rich>
      </c:tx>
      <c:layout>
        <c:manualLayout>
          <c:xMode val="edge"/>
          <c:yMode val="edge"/>
          <c:x val="0.42361185787651756"/>
          <c:y val="3.36134453781512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20855409165122"/>
          <c:y val="0.11484625253373526"/>
          <c:w val="0.81944583375012503"/>
          <c:h val="0.75630458985630544"/>
        </c:manualLayout>
      </c:layout>
      <c:scatterChart>
        <c:scatterStyle val="lineMarker"/>
        <c:varyColors val="0"/>
        <c:ser>
          <c:idx val="0"/>
          <c:order val="0"/>
          <c:tx>
            <c:v>Area 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noFill/>
                <a:prstDash val="solid"/>
              </a:ln>
            </c:spPr>
          </c:marker>
          <c:xVal>
            <c:numRef>
              <c:f>Path!$N$21:$N$93</c:f>
              <c:numCache>
                <c:formatCode>0.0</c:formatCod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33.29999999999999</c:v>
                </c:pt>
                <c:pt idx="4">
                  <c:v>33.29999999999999</c:v>
                </c:pt>
                <c:pt idx="5">
                  <c:v>33.29999999999999</c:v>
                </c:pt>
                <c:pt idx="6">
                  <c:v>34.92499999999999</c:v>
                </c:pt>
                <c:pt idx="7">
                  <c:v>34.92499999999999</c:v>
                </c:pt>
                <c:pt idx="8">
                  <c:v>34.92499999999999</c:v>
                </c:pt>
                <c:pt idx="9">
                  <c:v>37.223097038856267</c:v>
                </c:pt>
                <c:pt idx="10">
                  <c:v>37.223097038856267</c:v>
                </c:pt>
                <c:pt idx="11">
                  <c:v>37.223097038856267</c:v>
                </c:pt>
                <c:pt idx="12">
                  <c:v>38.848097038856267</c:v>
                </c:pt>
                <c:pt idx="13">
                  <c:v>38.848097038856267</c:v>
                </c:pt>
                <c:pt idx="14">
                  <c:v>38.848097038856267</c:v>
                </c:pt>
                <c:pt idx="15">
                  <c:v>107.24809703885629</c:v>
                </c:pt>
                <c:pt idx="16">
                  <c:v>107.24809703885629</c:v>
                </c:pt>
                <c:pt idx="17">
                  <c:v>107.24809703885629</c:v>
                </c:pt>
                <c:pt idx="18">
                  <c:v>108.87309703885629</c:v>
                </c:pt>
                <c:pt idx="19">
                  <c:v>108.87309703885629</c:v>
                </c:pt>
                <c:pt idx="20">
                  <c:v>108.87309703885629</c:v>
                </c:pt>
                <c:pt idx="21">
                  <c:v>111.17119407771257</c:v>
                </c:pt>
                <c:pt idx="22">
                  <c:v>111.17119407771257</c:v>
                </c:pt>
                <c:pt idx="23">
                  <c:v>111.17119407771257</c:v>
                </c:pt>
                <c:pt idx="24">
                  <c:v>112.79619407771257</c:v>
                </c:pt>
                <c:pt idx="25">
                  <c:v>112.79619407771257</c:v>
                </c:pt>
                <c:pt idx="26">
                  <c:v>112.79619407771257</c:v>
                </c:pt>
                <c:pt idx="27">
                  <c:v>113.69619407771258</c:v>
                </c:pt>
                <c:pt idx="28">
                  <c:v>113.69619407771258</c:v>
                </c:pt>
                <c:pt idx="29">
                  <c:v>113.69619407771258</c:v>
                </c:pt>
                <c:pt idx="30">
                  <c:v>114.59619407771257</c:v>
                </c:pt>
                <c:pt idx="31">
                  <c:v>114.59619407771257</c:v>
                </c:pt>
                <c:pt idx="32">
                  <c:v>114.59619407771257</c:v>
                </c:pt>
                <c:pt idx="33">
                  <c:v>116.22119407771257</c:v>
                </c:pt>
                <c:pt idx="34">
                  <c:v>116.22119407771257</c:v>
                </c:pt>
                <c:pt idx="35">
                  <c:v>116.22119407771257</c:v>
                </c:pt>
                <c:pt idx="36">
                  <c:v>118.51929111656885</c:v>
                </c:pt>
                <c:pt idx="37">
                  <c:v>118.51929111656885</c:v>
                </c:pt>
                <c:pt idx="38">
                  <c:v>118.51929111656885</c:v>
                </c:pt>
                <c:pt idx="39">
                  <c:v>120.14429111656885</c:v>
                </c:pt>
                <c:pt idx="40">
                  <c:v>120.14429111656885</c:v>
                </c:pt>
                <c:pt idx="41">
                  <c:v>120.14429111656885</c:v>
                </c:pt>
                <c:pt idx="42">
                  <c:v>146.74268420213843</c:v>
                </c:pt>
                <c:pt idx="43">
                  <c:v>146.74268420213843</c:v>
                </c:pt>
                <c:pt idx="44">
                  <c:v>146.74268420213843</c:v>
                </c:pt>
                <c:pt idx="45">
                  <c:v>173.34107728770803</c:v>
                </c:pt>
                <c:pt idx="46">
                  <c:v>173.34107728770803</c:v>
                </c:pt>
                <c:pt idx="47">
                  <c:v>173.34107728770803</c:v>
                </c:pt>
                <c:pt idx="48">
                  <c:v>176.69188074492325</c:v>
                </c:pt>
                <c:pt idx="49">
                  <c:v>176.69188074492325</c:v>
                </c:pt>
                <c:pt idx="50">
                  <c:v>176.69188074492325</c:v>
                </c:pt>
                <c:pt idx="51">
                  <c:v>180.41592542898456</c:v>
                </c:pt>
                <c:pt idx="52">
                  <c:v>180.41592542898456</c:v>
                </c:pt>
                <c:pt idx="53">
                  <c:v>180.41592542898456</c:v>
                </c:pt>
                <c:pt idx="54">
                  <c:v>182.04092542898456</c:v>
                </c:pt>
                <c:pt idx="55">
                  <c:v>182.04092542898456</c:v>
                </c:pt>
                <c:pt idx="56">
                  <c:v>182.04092542898456</c:v>
                </c:pt>
                <c:pt idx="57">
                  <c:v>183.84092542898458</c:v>
                </c:pt>
                <c:pt idx="58">
                  <c:v>183.84092542898458</c:v>
                </c:pt>
                <c:pt idx="59">
                  <c:v>183.84092542898458</c:v>
                </c:pt>
                <c:pt idx="60">
                  <c:v>189.86592542898458</c:v>
                </c:pt>
                <c:pt idx="61">
                  <c:v>189.86592542898458</c:v>
                </c:pt>
                <c:pt idx="62">
                  <c:v>189.86592542898458</c:v>
                </c:pt>
                <c:pt idx="63">
                  <c:v>196.76001774116648</c:v>
                </c:pt>
                <c:pt idx="64">
                  <c:v>196.76001774116648</c:v>
                </c:pt>
                <c:pt idx="65">
                  <c:v>196.76001774116648</c:v>
                </c:pt>
                <c:pt idx="66">
                  <c:v>200.1108211983817</c:v>
                </c:pt>
                <c:pt idx="67">
                  <c:v>200.1108211983817</c:v>
                </c:pt>
                <c:pt idx="68">
                  <c:v>200.1108211983817</c:v>
                </c:pt>
                <c:pt idx="69">
                  <c:v>230.85921428395127</c:v>
                </c:pt>
                <c:pt idx="70">
                  <c:v>230.85921428395127</c:v>
                </c:pt>
                <c:pt idx="71">
                  <c:v>230.85921428395127</c:v>
                </c:pt>
                <c:pt idx="72">
                  <c:v>261.60760736952085</c:v>
                </c:pt>
              </c:numCache>
            </c:numRef>
          </c:xVal>
          <c:yVal>
            <c:numRef>
              <c:f>Path!$R$21:$R$93</c:f>
              <c:numCache>
                <c:formatCode>0</c:formatCode>
                <c:ptCount val="73"/>
                <c:pt idx="0">
                  <c:v>308.10000000000002</c:v>
                </c:pt>
                <c:pt idx="1">
                  <c:v>308.10000000000002</c:v>
                </c:pt>
                <c:pt idx="2">
                  <c:v>308.10000000000002</c:v>
                </c:pt>
                <c:pt idx="3">
                  <c:v>308.10000000000002</c:v>
                </c:pt>
                <c:pt idx="4">
                  <c:v>308.10000000000002</c:v>
                </c:pt>
                <c:pt idx="5">
                  <c:v>308.10000000000002</c:v>
                </c:pt>
                <c:pt idx="6">
                  <c:v>344.46627193384268</c:v>
                </c:pt>
                <c:pt idx="7">
                  <c:v>344.46627193384268</c:v>
                </c:pt>
                <c:pt idx="8">
                  <c:v>344.46627193384268</c:v>
                </c:pt>
                <c:pt idx="9">
                  <c:v>344.46627193384319</c:v>
                </c:pt>
                <c:pt idx="10">
                  <c:v>344.46627193384319</c:v>
                </c:pt>
                <c:pt idx="11">
                  <c:v>344.46627193384319</c:v>
                </c:pt>
                <c:pt idx="12">
                  <c:v>308.10000000000065</c:v>
                </c:pt>
                <c:pt idx="13">
                  <c:v>308.10000000000065</c:v>
                </c:pt>
                <c:pt idx="14">
                  <c:v>308.10000000000065</c:v>
                </c:pt>
                <c:pt idx="15">
                  <c:v>308.10000000000065</c:v>
                </c:pt>
                <c:pt idx="16">
                  <c:v>308.10000000000065</c:v>
                </c:pt>
                <c:pt idx="17">
                  <c:v>308.10000000000065</c:v>
                </c:pt>
                <c:pt idx="18">
                  <c:v>344.46627193384319</c:v>
                </c:pt>
                <c:pt idx="19">
                  <c:v>344.46627193384319</c:v>
                </c:pt>
                <c:pt idx="20">
                  <c:v>344.46627193384319</c:v>
                </c:pt>
                <c:pt idx="21">
                  <c:v>344.46627193384199</c:v>
                </c:pt>
                <c:pt idx="22">
                  <c:v>344.46627193384199</c:v>
                </c:pt>
                <c:pt idx="23">
                  <c:v>344.46627193384199</c:v>
                </c:pt>
                <c:pt idx="24">
                  <c:v>308.09999999999934</c:v>
                </c:pt>
                <c:pt idx="25">
                  <c:v>308.09999999999934</c:v>
                </c:pt>
                <c:pt idx="26">
                  <c:v>308.09999999999934</c:v>
                </c:pt>
                <c:pt idx="27">
                  <c:v>308.09999999999934</c:v>
                </c:pt>
                <c:pt idx="28">
                  <c:v>308.09999999999934</c:v>
                </c:pt>
                <c:pt idx="29">
                  <c:v>308.09999999999934</c:v>
                </c:pt>
                <c:pt idx="30">
                  <c:v>308.09999999999934</c:v>
                </c:pt>
                <c:pt idx="31">
                  <c:v>308.09999999999934</c:v>
                </c:pt>
                <c:pt idx="32">
                  <c:v>308.09999999999934</c:v>
                </c:pt>
                <c:pt idx="33">
                  <c:v>344.46627193384199</c:v>
                </c:pt>
                <c:pt idx="34">
                  <c:v>344.46627193384199</c:v>
                </c:pt>
                <c:pt idx="35">
                  <c:v>344.46627193384199</c:v>
                </c:pt>
                <c:pt idx="36">
                  <c:v>344.46627193384262</c:v>
                </c:pt>
                <c:pt idx="37">
                  <c:v>344.46627193384262</c:v>
                </c:pt>
                <c:pt idx="38">
                  <c:v>344.46627193384262</c:v>
                </c:pt>
                <c:pt idx="39">
                  <c:v>308.09999999999997</c:v>
                </c:pt>
                <c:pt idx="40">
                  <c:v>308.09999999999997</c:v>
                </c:pt>
                <c:pt idx="41">
                  <c:v>308.09999999999997</c:v>
                </c:pt>
                <c:pt idx="42">
                  <c:v>308.09999999999997</c:v>
                </c:pt>
                <c:pt idx="43">
                  <c:v>308.09999999999997</c:v>
                </c:pt>
                <c:pt idx="44">
                  <c:v>308.09999999999997</c:v>
                </c:pt>
                <c:pt idx="45">
                  <c:v>308.09999999999997</c:v>
                </c:pt>
                <c:pt idx="46">
                  <c:v>308.09999999999997</c:v>
                </c:pt>
                <c:pt idx="47">
                  <c:v>308.09999999999997</c:v>
                </c:pt>
                <c:pt idx="48">
                  <c:v>442.52802273506398</c:v>
                </c:pt>
                <c:pt idx="49">
                  <c:v>442.52802273506398</c:v>
                </c:pt>
                <c:pt idx="50">
                  <c:v>442.52802273506398</c:v>
                </c:pt>
                <c:pt idx="51">
                  <c:v>653.72254521564514</c:v>
                </c:pt>
                <c:pt idx="52">
                  <c:v>653.72254521564514</c:v>
                </c:pt>
                <c:pt idx="53">
                  <c:v>653.72254521564514</c:v>
                </c:pt>
                <c:pt idx="54">
                  <c:v>635.31233548800321</c:v>
                </c:pt>
                <c:pt idx="55">
                  <c:v>635.31233548800321</c:v>
                </c:pt>
                <c:pt idx="56">
                  <c:v>635.31233548800321</c:v>
                </c:pt>
                <c:pt idx="57">
                  <c:v>635.31233548800321</c:v>
                </c:pt>
                <c:pt idx="58">
                  <c:v>635.31233548800321</c:v>
                </c:pt>
                <c:pt idx="59">
                  <c:v>635.31233548800321</c:v>
                </c:pt>
                <c:pt idx="60">
                  <c:v>854.31664652119537</c:v>
                </c:pt>
                <c:pt idx="61">
                  <c:v>854.31664652119537</c:v>
                </c:pt>
                <c:pt idx="62">
                  <c:v>854.31664652119537</c:v>
                </c:pt>
                <c:pt idx="63">
                  <c:v>1185.6838181006792</c:v>
                </c:pt>
                <c:pt idx="64">
                  <c:v>1185.6838181006792</c:v>
                </c:pt>
                <c:pt idx="65">
                  <c:v>1185.6838181006792</c:v>
                </c:pt>
                <c:pt idx="66">
                  <c:v>1142.3399999999997</c:v>
                </c:pt>
                <c:pt idx="67">
                  <c:v>1142.3399999999997</c:v>
                </c:pt>
                <c:pt idx="68">
                  <c:v>1142.3399999999997</c:v>
                </c:pt>
                <c:pt idx="69">
                  <c:v>1142.3399999999997</c:v>
                </c:pt>
                <c:pt idx="70">
                  <c:v>1142.3399999999997</c:v>
                </c:pt>
                <c:pt idx="71">
                  <c:v>1142.3399999999997</c:v>
                </c:pt>
                <c:pt idx="72">
                  <c:v>1142.3399999999997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4F4-43A6-953E-010F2EC8782F}"/>
            </c:ext>
          </c:extLst>
        </c:ser>
        <c:ser>
          <c:idx val="1"/>
          <c:order val="1"/>
          <c:tx>
            <c:v>Area 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noFill/>
                <a:prstDash val="solid"/>
              </a:ln>
            </c:spPr>
          </c:marker>
          <c:xVal>
            <c:numRef>
              <c:f>Path!$N$21:$N$93</c:f>
              <c:numCache>
                <c:formatCode>0.0</c:formatCod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33.29999999999999</c:v>
                </c:pt>
                <c:pt idx="4">
                  <c:v>33.29999999999999</c:v>
                </c:pt>
                <c:pt idx="5">
                  <c:v>33.29999999999999</c:v>
                </c:pt>
                <c:pt idx="6">
                  <c:v>34.92499999999999</c:v>
                </c:pt>
                <c:pt idx="7">
                  <c:v>34.92499999999999</c:v>
                </c:pt>
                <c:pt idx="8">
                  <c:v>34.92499999999999</c:v>
                </c:pt>
                <c:pt idx="9">
                  <c:v>37.223097038856267</c:v>
                </c:pt>
                <c:pt idx="10">
                  <c:v>37.223097038856267</c:v>
                </c:pt>
                <c:pt idx="11">
                  <c:v>37.223097038856267</c:v>
                </c:pt>
                <c:pt idx="12">
                  <c:v>38.848097038856267</c:v>
                </c:pt>
                <c:pt idx="13">
                  <c:v>38.848097038856267</c:v>
                </c:pt>
                <c:pt idx="14">
                  <c:v>38.848097038856267</c:v>
                </c:pt>
                <c:pt idx="15">
                  <c:v>107.24809703885629</c:v>
                </c:pt>
                <c:pt idx="16">
                  <c:v>107.24809703885629</c:v>
                </c:pt>
                <c:pt idx="17">
                  <c:v>107.24809703885629</c:v>
                </c:pt>
                <c:pt idx="18">
                  <c:v>108.87309703885629</c:v>
                </c:pt>
                <c:pt idx="19">
                  <c:v>108.87309703885629</c:v>
                </c:pt>
                <c:pt idx="20">
                  <c:v>108.87309703885629</c:v>
                </c:pt>
                <c:pt idx="21">
                  <c:v>111.17119407771257</c:v>
                </c:pt>
                <c:pt idx="22">
                  <c:v>111.17119407771257</c:v>
                </c:pt>
                <c:pt idx="23">
                  <c:v>111.17119407771257</c:v>
                </c:pt>
                <c:pt idx="24">
                  <c:v>112.79619407771257</c:v>
                </c:pt>
                <c:pt idx="25">
                  <c:v>112.79619407771257</c:v>
                </c:pt>
                <c:pt idx="26">
                  <c:v>112.79619407771257</c:v>
                </c:pt>
                <c:pt idx="27">
                  <c:v>113.69619407771258</c:v>
                </c:pt>
                <c:pt idx="28">
                  <c:v>113.69619407771258</c:v>
                </c:pt>
                <c:pt idx="29">
                  <c:v>113.69619407771258</c:v>
                </c:pt>
                <c:pt idx="30">
                  <c:v>114.59619407771257</c:v>
                </c:pt>
                <c:pt idx="31">
                  <c:v>114.59619407771257</c:v>
                </c:pt>
                <c:pt idx="32">
                  <c:v>114.59619407771257</c:v>
                </c:pt>
                <c:pt idx="33">
                  <c:v>116.22119407771257</c:v>
                </c:pt>
                <c:pt idx="34">
                  <c:v>116.22119407771257</c:v>
                </c:pt>
                <c:pt idx="35">
                  <c:v>116.22119407771257</c:v>
                </c:pt>
                <c:pt idx="36">
                  <c:v>118.51929111656885</c:v>
                </c:pt>
                <c:pt idx="37">
                  <c:v>118.51929111656885</c:v>
                </c:pt>
                <c:pt idx="38">
                  <c:v>118.51929111656885</c:v>
                </c:pt>
                <c:pt idx="39">
                  <c:v>120.14429111656885</c:v>
                </c:pt>
                <c:pt idx="40">
                  <c:v>120.14429111656885</c:v>
                </c:pt>
                <c:pt idx="41">
                  <c:v>120.14429111656885</c:v>
                </c:pt>
                <c:pt idx="42">
                  <c:v>146.74268420213843</c:v>
                </c:pt>
                <c:pt idx="43">
                  <c:v>146.74268420213843</c:v>
                </c:pt>
                <c:pt idx="44">
                  <c:v>146.74268420213843</c:v>
                </c:pt>
                <c:pt idx="45">
                  <c:v>173.34107728770803</c:v>
                </c:pt>
                <c:pt idx="46">
                  <c:v>173.34107728770803</c:v>
                </c:pt>
                <c:pt idx="47">
                  <c:v>173.34107728770803</c:v>
                </c:pt>
                <c:pt idx="48">
                  <c:v>176.69188074492325</c:v>
                </c:pt>
                <c:pt idx="49">
                  <c:v>176.69188074492325</c:v>
                </c:pt>
                <c:pt idx="50">
                  <c:v>176.69188074492325</c:v>
                </c:pt>
                <c:pt idx="51">
                  <c:v>180.41592542898456</c:v>
                </c:pt>
                <c:pt idx="52">
                  <c:v>180.41592542898456</c:v>
                </c:pt>
                <c:pt idx="53">
                  <c:v>180.41592542898456</c:v>
                </c:pt>
                <c:pt idx="54">
                  <c:v>182.04092542898456</c:v>
                </c:pt>
                <c:pt idx="55">
                  <c:v>182.04092542898456</c:v>
                </c:pt>
                <c:pt idx="56">
                  <c:v>182.04092542898456</c:v>
                </c:pt>
                <c:pt idx="57">
                  <c:v>183.84092542898458</c:v>
                </c:pt>
                <c:pt idx="58">
                  <c:v>183.84092542898458</c:v>
                </c:pt>
                <c:pt idx="59">
                  <c:v>183.84092542898458</c:v>
                </c:pt>
                <c:pt idx="60">
                  <c:v>189.86592542898458</c:v>
                </c:pt>
                <c:pt idx="61">
                  <c:v>189.86592542898458</c:v>
                </c:pt>
                <c:pt idx="62">
                  <c:v>189.86592542898458</c:v>
                </c:pt>
                <c:pt idx="63">
                  <c:v>196.76001774116648</c:v>
                </c:pt>
                <c:pt idx="64">
                  <c:v>196.76001774116648</c:v>
                </c:pt>
                <c:pt idx="65">
                  <c:v>196.76001774116648</c:v>
                </c:pt>
                <c:pt idx="66">
                  <c:v>200.1108211983817</c:v>
                </c:pt>
                <c:pt idx="67">
                  <c:v>200.1108211983817</c:v>
                </c:pt>
                <c:pt idx="68">
                  <c:v>200.1108211983817</c:v>
                </c:pt>
                <c:pt idx="69">
                  <c:v>230.85921428395127</c:v>
                </c:pt>
                <c:pt idx="70">
                  <c:v>230.85921428395127</c:v>
                </c:pt>
                <c:pt idx="71">
                  <c:v>230.85921428395127</c:v>
                </c:pt>
                <c:pt idx="72">
                  <c:v>261.60760736952085</c:v>
                </c:pt>
              </c:numCache>
            </c:numRef>
          </c:xVal>
          <c:yVal>
            <c:numRef>
              <c:f>Path!$S$21:$S$93</c:f>
              <c:numCache>
                <c:formatCode>0</c:formatCode>
                <c:ptCount val="73"/>
                <c:pt idx="0">
                  <c:v>-308.10000000000002</c:v>
                </c:pt>
                <c:pt idx="1">
                  <c:v>-308.10000000000002</c:v>
                </c:pt>
                <c:pt idx="2">
                  <c:v>-308.10000000000002</c:v>
                </c:pt>
                <c:pt idx="3">
                  <c:v>-308.10000000000002</c:v>
                </c:pt>
                <c:pt idx="4">
                  <c:v>-308.10000000000002</c:v>
                </c:pt>
                <c:pt idx="5">
                  <c:v>-308.10000000000002</c:v>
                </c:pt>
                <c:pt idx="6">
                  <c:v>-344.46627193384268</c:v>
                </c:pt>
                <c:pt idx="7">
                  <c:v>-344.46627193384268</c:v>
                </c:pt>
                <c:pt idx="8">
                  <c:v>-344.46627193384268</c:v>
                </c:pt>
                <c:pt idx="9">
                  <c:v>-344.46627193384319</c:v>
                </c:pt>
                <c:pt idx="10">
                  <c:v>-344.46627193384319</c:v>
                </c:pt>
                <c:pt idx="11">
                  <c:v>-344.46627193384319</c:v>
                </c:pt>
                <c:pt idx="12">
                  <c:v>-308.10000000000065</c:v>
                </c:pt>
                <c:pt idx="13">
                  <c:v>-308.10000000000065</c:v>
                </c:pt>
                <c:pt idx="14">
                  <c:v>-308.10000000000065</c:v>
                </c:pt>
                <c:pt idx="15">
                  <c:v>-308.10000000000065</c:v>
                </c:pt>
                <c:pt idx="16">
                  <c:v>-308.10000000000065</c:v>
                </c:pt>
                <c:pt idx="17">
                  <c:v>-308.10000000000065</c:v>
                </c:pt>
                <c:pt idx="18">
                  <c:v>-344.46627193384319</c:v>
                </c:pt>
                <c:pt idx="19">
                  <c:v>-344.46627193384319</c:v>
                </c:pt>
                <c:pt idx="20">
                  <c:v>-344.46627193384319</c:v>
                </c:pt>
                <c:pt idx="21">
                  <c:v>-344.46627193384199</c:v>
                </c:pt>
                <c:pt idx="22">
                  <c:v>-344.46627193384199</c:v>
                </c:pt>
                <c:pt idx="23">
                  <c:v>-344.46627193384199</c:v>
                </c:pt>
                <c:pt idx="24">
                  <c:v>-308.09999999999934</c:v>
                </c:pt>
                <c:pt idx="25">
                  <c:v>-308.09999999999934</c:v>
                </c:pt>
                <c:pt idx="26">
                  <c:v>-308.09999999999934</c:v>
                </c:pt>
                <c:pt idx="27">
                  <c:v>-308.09999999999934</c:v>
                </c:pt>
                <c:pt idx="28">
                  <c:v>-308.09999999999934</c:v>
                </c:pt>
                <c:pt idx="29">
                  <c:v>-308.09999999999934</c:v>
                </c:pt>
                <c:pt idx="30">
                  <c:v>-308.09999999999934</c:v>
                </c:pt>
                <c:pt idx="31">
                  <c:v>-308.09999999999934</c:v>
                </c:pt>
                <c:pt idx="32">
                  <c:v>-308.09999999999934</c:v>
                </c:pt>
                <c:pt idx="33">
                  <c:v>-344.46627193384199</c:v>
                </c:pt>
                <c:pt idx="34">
                  <c:v>-344.46627193384199</c:v>
                </c:pt>
                <c:pt idx="35">
                  <c:v>-344.46627193384199</c:v>
                </c:pt>
                <c:pt idx="36">
                  <c:v>-344.46627193384262</c:v>
                </c:pt>
                <c:pt idx="37">
                  <c:v>-344.46627193384262</c:v>
                </c:pt>
                <c:pt idx="38">
                  <c:v>-344.46627193384262</c:v>
                </c:pt>
                <c:pt idx="39">
                  <c:v>-308.09999999999997</c:v>
                </c:pt>
                <c:pt idx="40">
                  <c:v>-308.09999999999997</c:v>
                </c:pt>
                <c:pt idx="41">
                  <c:v>-308.09999999999997</c:v>
                </c:pt>
                <c:pt idx="42">
                  <c:v>-308.09999999999997</c:v>
                </c:pt>
                <c:pt idx="43">
                  <c:v>-308.09999999999997</c:v>
                </c:pt>
                <c:pt idx="44">
                  <c:v>-308.09999999999997</c:v>
                </c:pt>
                <c:pt idx="45">
                  <c:v>-308.09999999999997</c:v>
                </c:pt>
                <c:pt idx="46">
                  <c:v>-308.09999999999997</c:v>
                </c:pt>
                <c:pt idx="47">
                  <c:v>-308.09999999999997</c:v>
                </c:pt>
                <c:pt idx="48">
                  <c:v>-442.52802273506398</c:v>
                </c:pt>
                <c:pt idx="49">
                  <c:v>-442.52802273506398</c:v>
                </c:pt>
                <c:pt idx="50">
                  <c:v>-442.52802273506398</c:v>
                </c:pt>
                <c:pt idx="51">
                  <c:v>-653.72254521564514</c:v>
                </c:pt>
                <c:pt idx="52">
                  <c:v>-653.72254521564514</c:v>
                </c:pt>
                <c:pt idx="53">
                  <c:v>-653.72254521564514</c:v>
                </c:pt>
                <c:pt idx="54">
                  <c:v>-635.31233548800321</c:v>
                </c:pt>
                <c:pt idx="55">
                  <c:v>-635.31233548800321</c:v>
                </c:pt>
                <c:pt idx="56">
                  <c:v>-635.31233548800321</c:v>
                </c:pt>
                <c:pt idx="57">
                  <c:v>-635.31233548800321</c:v>
                </c:pt>
                <c:pt idx="58">
                  <c:v>-635.31233548800321</c:v>
                </c:pt>
                <c:pt idx="59">
                  <c:v>-635.31233548800321</c:v>
                </c:pt>
                <c:pt idx="60">
                  <c:v>-854.31664652119537</c:v>
                </c:pt>
                <c:pt idx="61">
                  <c:v>-854.31664652119537</c:v>
                </c:pt>
                <c:pt idx="62">
                  <c:v>-854.31664652119537</c:v>
                </c:pt>
                <c:pt idx="63">
                  <c:v>-1185.6838181006792</c:v>
                </c:pt>
                <c:pt idx="64">
                  <c:v>-1185.6838181006792</c:v>
                </c:pt>
                <c:pt idx="65">
                  <c:v>-1185.6838181006792</c:v>
                </c:pt>
                <c:pt idx="66">
                  <c:v>-1142.3399999999997</c:v>
                </c:pt>
                <c:pt idx="67">
                  <c:v>-1142.3399999999997</c:v>
                </c:pt>
                <c:pt idx="68">
                  <c:v>-1142.3399999999997</c:v>
                </c:pt>
                <c:pt idx="69">
                  <c:v>-1142.3399999999997</c:v>
                </c:pt>
                <c:pt idx="70">
                  <c:v>-1142.3399999999997</c:v>
                </c:pt>
                <c:pt idx="71">
                  <c:v>-1142.3399999999997</c:v>
                </c:pt>
                <c:pt idx="72">
                  <c:v>-1142.3399999999997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4F4-43A6-953E-010F2EC8782F}"/>
            </c:ext>
          </c:extLst>
        </c:ser>
        <c:ser>
          <c:idx val="2"/>
          <c:order val="2"/>
          <c:tx>
            <c:v>Area 3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Path!$N$21:$N$93</c:f>
              <c:numCache>
                <c:formatCode>0.0</c:formatCod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33.29999999999999</c:v>
                </c:pt>
                <c:pt idx="4">
                  <c:v>33.29999999999999</c:v>
                </c:pt>
                <c:pt idx="5">
                  <c:v>33.29999999999999</c:v>
                </c:pt>
                <c:pt idx="6">
                  <c:v>34.92499999999999</c:v>
                </c:pt>
                <c:pt idx="7">
                  <c:v>34.92499999999999</c:v>
                </c:pt>
                <c:pt idx="8">
                  <c:v>34.92499999999999</c:v>
                </c:pt>
                <c:pt idx="9">
                  <c:v>37.223097038856267</c:v>
                </c:pt>
                <c:pt idx="10">
                  <c:v>37.223097038856267</c:v>
                </c:pt>
                <c:pt idx="11">
                  <c:v>37.223097038856267</c:v>
                </c:pt>
                <c:pt idx="12">
                  <c:v>38.848097038856267</c:v>
                </c:pt>
                <c:pt idx="13">
                  <c:v>38.848097038856267</c:v>
                </c:pt>
                <c:pt idx="14">
                  <c:v>38.848097038856267</c:v>
                </c:pt>
                <c:pt idx="15">
                  <c:v>107.24809703885629</c:v>
                </c:pt>
                <c:pt idx="16">
                  <c:v>107.24809703885629</c:v>
                </c:pt>
                <c:pt idx="17">
                  <c:v>107.24809703885629</c:v>
                </c:pt>
                <c:pt idx="18">
                  <c:v>108.87309703885629</c:v>
                </c:pt>
                <c:pt idx="19">
                  <c:v>108.87309703885629</c:v>
                </c:pt>
                <c:pt idx="20">
                  <c:v>108.87309703885629</c:v>
                </c:pt>
                <c:pt idx="21">
                  <c:v>111.17119407771257</c:v>
                </c:pt>
                <c:pt idx="22">
                  <c:v>111.17119407771257</c:v>
                </c:pt>
                <c:pt idx="23">
                  <c:v>111.17119407771257</c:v>
                </c:pt>
                <c:pt idx="24">
                  <c:v>112.79619407771257</c:v>
                </c:pt>
                <c:pt idx="25">
                  <c:v>112.79619407771257</c:v>
                </c:pt>
                <c:pt idx="26">
                  <c:v>112.79619407771257</c:v>
                </c:pt>
                <c:pt idx="27">
                  <c:v>113.69619407771258</c:v>
                </c:pt>
                <c:pt idx="28">
                  <c:v>113.69619407771258</c:v>
                </c:pt>
                <c:pt idx="29">
                  <c:v>113.69619407771258</c:v>
                </c:pt>
                <c:pt idx="30">
                  <c:v>114.59619407771257</c:v>
                </c:pt>
                <c:pt idx="31">
                  <c:v>114.59619407771257</c:v>
                </c:pt>
                <c:pt idx="32">
                  <c:v>114.59619407771257</c:v>
                </c:pt>
                <c:pt idx="33">
                  <c:v>116.22119407771257</c:v>
                </c:pt>
                <c:pt idx="34">
                  <c:v>116.22119407771257</c:v>
                </c:pt>
                <c:pt idx="35">
                  <c:v>116.22119407771257</c:v>
                </c:pt>
                <c:pt idx="36">
                  <c:v>118.51929111656885</c:v>
                </c:pt>
                <c:pt idx="37">
                  <c:v>118.51929111656885</c:v>
                </c:pt>
                <c:pt idx="38">
                  <c:v>118.51929111656885</c:v>
                </c:pt>
                <c:pt idx="39">
                  <c:v>120.14429111656885</c:v>
                </c:pt>
                <c:pt idx="40">
                  <c:v>120.14429111656885</c:v>
                </c:pt>
                <c:pt idx="41">
                  <c:v>120.14429111656885</c:v>
                </c:pt>
                <c:pt idx="42">
                  <c:v>146.74268420213843</c:v>
                </c:pt>
                <c:pt idx="43">
                  <c:v>146.74268420213843</c:v>
                </c:pt>
                <c:pt idx="44">
                  <c:v>146.74268420213843</c:v>
                </c:pt>
                <c:pt idx="45">
                  <c:v>173.34107728770803</c:v>
                </c:pt>
                <c:pt idx="46">
                  <c:v>173.34107728770803</c:v>
                </c:pt>
                <c:pt idx="47">
                  <c:v>173.34107728770803</c:v>
                </c:pt>
                <c:pt idx="48">
                  <c:v>176.69188074492325</c:v>
                </c:pt>
                <c:pt idx="49">
                  <c:v>176.69188074492325</c:v>
                </c:pt>
                <c:pt idx="50">
                  <c:v>176.69188074492325</c:v>
                </c:pt>
                <c:pt idx="51">
                  <c:v>180.41592542898456</c:v>
                </c:pt>
                <c:pt idx="52">
                  <c:v>180.41592542898456</c:v>
                </c:pt>
                <c:pt idx="53">
                  <c:v>180.41592542898456</c:v>
                </c:pt>
                <c:pt idx="54">
                  <c:v>182.04092542898456</c:v>
                </c:pt>
                <c:pt idx="55">
                  <c:v>182.04092542898456</c:v>
                </c:pt>
                <c:pt idx="56">
                  <c:v>182.04092542898456</c:v>
                </c:pt>
                <c:pt idx="57">
                  <c:v>183.84092542898458</c:v>
                </c:pt>
                <c:pt idx="58">
                  <c:v>183.84092542898458</c:v>
                </c:pt>
                <c:pt idx="59">
                  <c:v>183.84092542898458</c:v>
                </c:pt>
                <c:pt idx="60">
                  <c:v>189.86592542898458</c:v>
                </c:pt>
                <c:pt idx="61">
                  <c:v>189.86592542898458</c:v>
                </c:pt>
                <c:pt idx="62">
                  <c:v>189.86592542898458</c:v>
                </c:pt>
                <c:pt idx="63">
                  <c:v>196.76001774116648</c:v>
                </c:pt>
                <c:pt idx="64">
                  <c:v>196.76001774116648</c:v>
                </c:pt>
                <c:pt idx="65">
                  <c:v>196.76001774116648</c:v>
                </c:pt>
                <c:pt idx="66">
                  <c:v>200.1108211983817</c:v>
                </c:pt>
                <c:pt idx="67">
                  <c:v>200.1108211983817</c:v>
                </c:pt>
                <c:pt idx="68">
                  <c:v>200.1108211983817</c:v>
                </c:pt>
                <c:pt idx="69">
                  <c:v>230.85921428395127</c:v>
                </c:pt>
                <c:pt idx="70">
                  <c:v>230.85921428395127</c:v>
                </c:pt>
                <c:pt idx="71">
                  <c:v>230.85921428395127</c:v>
                </c:pt>
                <c:pt idx="72">
                  <c:v>261.60760736952085</c:v>
                </c:pt>
              </c:numCache>
            </c:numRef>
          </c:xVal>
          <c:yVal>
            <c:numRef>
              <c:f>Path!$U$21:$U$93</c:f>
              <c:numCache>
                <c:formatCode>0</c:formatCode>
                <c:ptCount val="73"/>
                <c:pt idx="0">
                  <c:v>308.10000000000002</c:v>
                </c:pt>
                <c:pt idx="1">
                  <c:v>308.10000000000002</c:v>
                </c:pt>
                <c:pt idx="2">
                  <c:v>308.10000000000002</c:v>
                </c:pt>
                <c:pt idx="3">
                  <c:v>308.10000000000002</c:v>
                </c:pt>
                <c:pt idx="4">
                  <c:v>308.10000000000002</c:v>
                </c:pt>
                <c:pt idx="5">
                  <c:v>308.10000000000002</c:v>
                </c:pt>
                <c:pt idx="6">
                  <c:v>308.10000000000002</c:v>
                </c:pt>
                <c:pt idx="7">
                  <c:v>308.10000000000002</c:v>
                </c:pt>
                <c:pt idx="8">
                  <c:v>308.10000000000002</c:v>
                </c:pt>
                <c:pt idx="9">
                  <c:v>308.10000000000002</c:v>
                </c:pt>
                <c:pt idx="10">
                  <c:v>308.10000000000002</c:v>
                </c:pt>
                <c:pt idx="11">
                  <c:v>308.10000000000002</c:v>
                </c:pt>
                <c:pt idx="12">
                  <c:v>308.10000000000002</c:v>
                </c:pt>
                <c:pt idx="13">
                  <c:v>308.10000000000002</c:v>
                </c:pt>
                <c:pt idx="14">
                  <c:v>308.10000000000002</c:v>
                </c:pt>
                <c:pt idx="15">
                  <c:v>308.10000000000002</c:v>
                </c:pt>
                <c:pt idx="16">
                  <c:v>308.10000000000002</c:v>
                </c:pt>
                <c:pt idx="17">
                  <c:v>308.10000000000002</c:v>
                </c:pt>
                <c:pt idx="18">
                  <c:v>308.10000000000002</c:v>
                </c:pt>
                <c:pt idx="19">
                  <c:v>308.10000000000002</c:v>
                </c:pt>
                <c:pt idx="20">
                  <c:v>308.10000000000002</c:v>
                </c:pt>
                <c:pt idx="21">
                  <c:v>308.10000000000002</c:v>
                </c:pt>
                <c:pt idx="22">
                  <c:v>308.10000000000002</c:v>
                </c:pt>
                <c:pt idx="23">
                  <c:v>308.10000000000002</c:v>
                </c:pt>
                <c:pt idx="24">
                  <c:v>308.10000000000002</c:v>
                </c:pt>
                <c:pt idx="25">
                  <c:v>308.10000000000002</c:v>
                </c:pt>
                <c:pt idx="26">
                  <c:v>308.10000000000002</c:v>
                </c:pt>
                <c:pt idx="27">
                  <c:v>308.10000000000002</c:v>
                </c:pt>
                <c:pt idx="28">
                  <c:v>308.10000000000002</c:v>
                </c:pt>
                <c:pt idx="29">
                  <c:v>308.10000000000002</c:v>
                </c:pt>
                <c:pt idx="30">
                  <c:v>308.10000000000002</c:v>
                </c:pt>
                <c:pt idx="31">
                  <c:v>308.10000000000002</c:v>
                </c:pt>
                <c:pt idx="32">
                  <c:v>308.10000000000002</c:v>
                </c:pt>
                <c:pt idx="33">
                  <c:v>308.10000000000002</c:v>
                </c:pt>
                <c:pt idx="34">
                  <c:v>308.10000000000002</c:v>
                </c:pt>
                <c:pt idx="35">
                  <c:v>308.10000000000002</c:v>
                </c:pt>
                <c:pt idx="36">
                  <c:v>308.10000000000002</c:v>
                </c:pt>
                <c:pt idx="37">
                  <c:v>308.10000000000002</c:v>
                </c:pt>
                <c:pt idx="38">
                  <c:v>308.10000000000002</c:v>
                </c:pt>
                <c:pt idx="39">
                  <c:v>308.10000000000002</c:v>
                </c:pt>
                <c:pt idx="40">
                  <c:v>308.10000000000002</c:v>
                </c:pt>
                <c:pt idx="41">
                  <c:v>308.10000000000002</c:v>
                </c:pt>
                <c:pt idx="42">
                  <c:v>308.10000000000002</c:v>
                </c:pt>
                <c:pt idx="43">
                  <c:v>308.10000000000002</c:v>
                </c:pt>
                <c:pt idx="44">
                  <c:v>308.10000000000002</c:v>
                </c:pt>
                <c:pt idx="45">
                  <c:v>308.10000000000002</c:v>
                </c:pt>
                <c:pt idx="46">
                  <c:v>308.09999999999997</c:v>
                </c:pt>
                <c:pt idx="47">
                  <c:v>308.09999999999997</c:v>
                </c:pt>
                <c:pt idx="48">
                  <c:v>412.52289942985408</c:v>
                </c:pt>
                <c:pt idx="49">
                  <c:v>412.52289942985408</c:v>
                </c:pt>
                <c:pt idx="50">
                  <c:v>412.52289942985408</c:v>
                </c:pt>
                <c:pt idx="51">
                  <c:v>528.57731696922326</c:v>
                </c:pt>
                <c:pt idx="52">
                  <c:v>528.57731696922326</c:v>
                </c:pt>
                <c:pt idx="53">
                  <c:v>528.57731696922326</c:v>
                </c:pt>
                <c:pt idx="54">
                  <c:v>579.21807037065855</c:v>
                </c:pt>
                <c:pt idx="55">
                  <c:v>579.21807037065855</c:v>
                </c:pt>
                <c:pt idx="56">
                  <c:v>579.21807037065855</c:v>
                </c:pt>
                <c:pt idx="57">
                  <c:v>635.31244336917189</c:v>
                </c:pt>
                <c:pt idx="58">
                  <c:v>635.31244336917189</c:v>
                </c:pt>
                <c:pt idx="59">
                  <c:v>635.31244336917189</c:v>
                </c:pt>
                <c:pt idx="60">
                  <c:v>823.07277521141668</c:v>
                </c:pt>
                <c:pt idx="61">
                  <c:v>823.07277521141668</c:v>
                </c:pt>
                <c:pt idx="62">
                  <c:v>823.07277521141668</c:v>
                </c:pt>
                <c:pt idx="63">
                  <c:v>1037.9171005701457</c:v>
                </c:pt>
                <c:pt idx="64">
                  <c:v>1037.9171005701457</c:v>
                </c:pt>
                <c:pt idx="65">
                  <c:v>1037.9171005701457</c:v>
                </c:pt>
                <c:pt idx="66">
                  <c:v>1142.3399999999997</c:v>
                </c:pt>
                <c:pt idx="67">
                  <c:v>1142.3399999999997</c:v>
                </c:pt>
                <c:pt idx="68">
                  <c:v>1142.3399999999997</c:v>
                </c:pt>
                <c:pt idx="69">
                  <c:v>1142.3399999999997</c:v>
                </c:pt>
                <c:pt idx="70">
                  <c:v>1142.3399999999997</c:v>
                </c:pt>
                <c:pt idx="71">
                  <c:v>1142.3399999999997</c:v>
                </c:pt>
                <c:pt idx="72">
                  <c:v>1142.3399999999997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4F4-43A6-953E-010F2EC8782F}"/>
            </c:ext>
          </c:extLst>
        </c:ser>
        <c:ser>
          <c:idx val="3"/>
          <c:order val="3"/>
          <c:tx>
            <c:v>Area 4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Path!$N$21:$N$93</c:f>
              <c:numCache>
                <c:formatCode>0.0</c:formatCod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33.29999999999999</c:v>
                </c:pt>
                <c:pt idx="4">
                  <c:v>33.29999999999999</c:v>
                </c:pt>
                <c:pt idx="5">
                  <c:v>33.29999999999999</c:v>
                </c:pt>
                <c:pt idx="6">
                  <c:v>34.92499999999999</c:v>
                </c:pt>
                <c:pt idx="7">
                  <c:v>34.92499999999999</c:v>
                </c:pt>
                <c:pt idx="8">
                  <c:v>34.92499999999999</c:v>
                </c:pt>
                <c:pt idx="9">
                  <c:v>37.223097038856267</c:v>
                </c:pt>
                <c:pt idx="10">
                  <c:v>37.223097038856267</c:v>
                </c:pt>
                <c:pt idx="11">
                  <c:v>37.223097038856267</c:v>
                </c:pt>
                <c:pt idx="12">
                  <c:v>38.848097038856267</c:v>
                </c:pt>
                <c:pt idx="13">
                  <c:v>38.848097038856267</c:v>
                </c:pt>
                <c:pt idx="14">
                  <c:v>38.848097038856267</c:v>
                </c:pt>
                <c:pt idx="15">
                  <c:v>107.24809703885629</c:v>
                </c:pt>
                <c:pt idx="16">
                  <c:v>107.24809703885629</c:v>
                </c:pt>
                <c:pt idx="17">
                  <c:v>107.24809703885629</c:v>
                </c:pt>
                <c:pt idx="18">
                  <c:v>108.87309703885629</c:v>
                </c:pt>
                <c:pt idx="19">
                  <c:v>108.87309703885629</c:v>
                </c:pt>
                <c:pt idx="20">
                  <c:v>108.87309703885629</c:v>
                </c:pt>
                <c:pt idx="21">
                  <c:v>111.17119407771257</c:v>
                </c:pt>
                <c:pt idx="22">
                  <c:v>111.17119407771257</c:v>
                </c:pt>
                <c:pt idx="23">
                  <c:v>111.17119407771257</c:v>
                </c:pt>
                <c:pt idx="24">
                  <c:v>112.79619407771257</c:v>
                </c:pt>
                <c:pt idx="25">
                  <c:v>112.79619407771257</c:v>
                </c:pt>
                <c:pt idx="26">
                  <c:v>112.79619407771257</c:v>
                </c:pt>
                <c:pt idx="27">
                  <c:v>113.69619407771258</c:v>
                </c:pt>
                <c:pt idx="28">
                  <c:v>113.69619407771258</c:v>
                </c:pt>
                <c:pt idx="29">
                  <c:v>113.69619407771258</c:v>
                </c:pt>
                <c:pt idx="30">
                  <c:v>114.59619407771257</c:v>
                </c:pt>
                <c:pt idx="31">
                  <c:v>114.59619407771257</c:v>
                </c:pt>
                <c:pt idx="32">
                  <c:v>114.59619407771257</c:v>
                </c:pt>
                <c:pt idx="33">
                  <c:v>116.22119407771257</c:v>
                </c:pt>
                <c:pt idx="34">
                  <c:v>116.22119407771257</c:v>
                </c:pt>
                <c:pt idx="35">
                  <c:v>116.22119407771257</c:v>
                </c:pt>
                <c:pt idx="36">
                  <c:v>118.51929111656885</c:v>
                </c:pt>
                <c:pt idx="37">
                  <c:v>118.51929111656885</c:v>
                </c:pt>
                <c:pt idx="38">
                  <c:v>118.51929111656885</c:v>
                </c:pt>
                <c:pt idx="39">
                  <c:v>120.14429111656885</c:v>
                </c:pt>
                <c:pt idx="40">
                  <c:v>120.14429111656885</c:v>
                </c:pt>
                <c:pt idx="41">
                  <c:v>120.14429111656885</c:v>
                </c:pt>
                <c:pt idx="42">
                  <c:v>146.74268420213843</c:v>
                </c:pt>
                <c:pt idx="43">
                  <c:v>146.74268420213843</c:v>
                </c:pt>
                <c:pt idx="44">
                  <c:v>146.74268420213843</c:v>
                </c:pt>
                <c:pt idx="45">
                  <c:v>173.34107728770803</c:v>
                </c:pt>
                <c:pt idx="46">
                  <c:v>173.34107728770803</c:v>
                </c:pt>
                <c:pt idx="47">
                  <c:v>173.34107728770803</c:v>
                </c:pt>
                <c:pt idx="48">
                  <c:v>176.69188074492325</c:v>
                </c:pt>
                <c:pt idx="49">
                  <c:v>176.69188074492325</c:v>
                </c:pt>
                <c:pt idx="50">
                  <c:v>176.69188074492325</c:v>
                </c:pt>
                <c:pt idx="51">
                  <c:v>180.41592542898456</c:v>
                </c:pt>
                <c:pt idx="52">
                  <c:v>180.41592542898456</c:v>
                </c:pt>
                <c:pt idx="53">
                  <c:v>180.41592542898456</c:v>
                </c:pt>
                <c:pt idx="54">
                  <c:v>182.04092542898456</c:v>
                </c:pt>
                <c:pt idx="55">
                  <c:v>182.04092542898456</c:v>
                </c:pt>
                <c:pt idx="56">
                  <c:v>182.04092542898456</c:v>
                </c:pt>
                <c:pt idx="57">
                  <c:v>183.84092542898458</c:v>
                </c:pt>
                <c:pt idx="58">
                  <c:v>183.84092542898458</c:v>
                </c:pt>
                <c:pt idx="59">
                  <c:v>183.84092542898458</c:v>
                </c:pt>
                <c:pt idx="60">
                  <c:v>189.86592542898458</c:v>
                </c:pt>
                <c:pt idx="61">
                  <c:v>189.86592542898458</c:v>
                </c:pt>
                <c:pt idx="62">
                  <c:v>189.86592542898458</c:v>
                </c:pt>
                <c:pt idx="63">
                  <c:v>196.76001774116648</c:v>
                </c:pt>
                <c:pt idx="64">
                  <c:v>196.76001774116648</c:v>
                </c:pt>
                <c:pt idx="65">
                  <c:v>196.76001774116648</c:v>
                </c:pt>
                <c:pt idx="66">
                  <c:v>200.1108211983817</c:v>
                </c:pt>
                <c:pt idx="67">
                  <c:v>200.1108211983817</c:v>
                </c:pt>
                <c:pt idx="68">
                  <c:v>200.1108211983817</c:v>
                </c:pt>
                <c:pt idx="69">
                  <c:v>230.85921428395127</c:v>
                </c:pt>
                <c:pt idx="70">
                  <c:v>230.85921428395127</c:v>
                </c:pt>
                <c:pt idx="71">
                  <c:v>230.85921428395127</c:v>
                </c:pt>
                <c:pt idx="72">
                  <c:v>261.60760736952085</c:v>
                </c:pt>
              </c:numCache>
            </c:numRef>
          </c:xVal>
          <c:yVal>
            <c:numRef>
              <c:f>Path!$V$21:$V$93</c:f>
              <c:numCache>
                <c:formatCode>0</c:formatCode>
                <c:ptCount val="73"/>
                <c:pt idx="0">
                  <c:v>-308.10000000000002</c:v>
                </c:pt>
                <c:pt idx="1">
                  <c:v>-308.10000000000002</c:v>
                </c:pt>
                <c:pt idx="2">
                  <c:v>-308.10000000000002</c:v>
                </c:pt>
                <c:pt idx="3">
                  <c:v>-308.10000000000002</c:v>
                </c:pt>
                <c:pt idx="4">
                  <c:v>-308.10000000000002</c:v>
                </c:pt>
                <c:pt idx="5">
                  <c:v>-308.10000000000002</c:v>
                </c:pt>
                <c:pt idx="6">
                  <c:v>-308.10000000000002</c:v>
                </c:pt>
                <c:pt idx="7">
                  <c:v>-308.10000000000002</c:v>
                </c:pt>
                <c:pt idx="8">
                  <c:v>-308.10000000000002</c:v>
                </c:pt>
                <c:pt idx="9">
                  <c:v>-308.10000000000002</c:v>
                </c:pt>
                <c:pt idx="10">
                  <c:v>-308.10000000000002</c:v>
                </c:pt>
                <c:pt idx="11">
                  <c:v>-308.10000000000002</c:v>
                </c:pt>
                <c:pt idx="12">
                  <c:v>-308.10000000000002</c:v>
                </c:pt>
                <c:pt idx="13">
                  <c:v>-308.10000000000002</c:v>
                </c:pt>
                <c:pt idx="14">
                  <c:v>-308.10000000000002</c:v>
                </c:pt>
                <c:pt idx="15">
                  <c:v>-308.10000000000002</c:v>
                </c:pt>
                <c:pt idx="16">
                  <c:v>-308.10000000000002</c:v>
                </c:pt>
                <c:pt idx="17">
                  <c:v>-308.10000000000002</c:v>
                </c:pt>
                <c:pt idx="18">
                  <c:v>-308.10000000000002</c:v>
                </c:pt>
                <c:pt idx="19">
                  <c:v>-308.10000000000002</c:v>
                </c:pt>
                <c:pt idx="20">
                  <c:v>-308.10000000000002</c:v>
                </c:pt>
                <c:pt idx="21">
                  <c:v>-308.10000000000002</c:v>
                </c:pt>
                <c:pt idx="22">
                  <c:v>-308.10000000000002</c:v>
                </c:pt>
                <c:pt idx="23">
                  <c:v>-308.10000000000002</c:v>
                </c:pt>
                <c:pt idx="24">
                  <c:v>-308.10000000000002</c:v>
                </c:pt>
                <c:pt idx="25">
                  <c:v>-308.10000000000002</c:v>
                </c:pt>
                <c:pt idx="26">
                  <c:v>-308.10000000000002</c:v>
                </c:pt>
                <c:pt idx="27">
                  <c:v>-308.10000000000002</c:v>
                </c:pt>
                <c:pt idx="28">
                  <c:v>-308.10000000000002</c:v>
                </c:pt>
                <c:pt idx="29">
                  <c:v>-308.10000000000002</c:v>
                </c:pt>
                <c:pt idx="30">
                  <c:v>-308.10000000000002</c:v>
                </c:pt>
                <c:pt idx="31">
                  <c:v>-308.10000000000002</c:v>
                </c:pt>
                <c:pt idx="32">
                  <c:v>-308.10000000000002</c:v>
                </c:pt>
                <c:pt idx="33">
                  <c:v>-308.10000000000002</c:v>
                </c:pt>
                <c:pt idx="34">
                  <c:v>-308.10000000000002</c:v>
                </c:pt>
                <c:pt idx="35">
                  <c:v>-308.10000000000002</c:v>
                </c:pt>
                <c:pt idx="36">
                  <c:v>-308.10000000000002</c:v>
                </c:pt>
                <c:pt idx="37">
                  <c:v>-308.10000000000002</c:v>
                </c:pt>
                <c:pt idx="38">
                  <c:v>-308.10000000000002</c:v>
                </c:pt>
                <c:pt idx="39">
                  <c:v>-308.10000000000002</c:v>
                </c:pt>
                <c:pt idx="40">
                  <c:v>-308.10000000000002</c:v>
                </c:pt>
                <c:pt idx="41">
                  <c:v>-308.10000000000002</c:v>
                </c:pt>
                <c:pt idx="42">
                  <c:v>-308.10000000000002</c:v>
                </c:pt>
                <c:pt idx="43">
                  <c:v>-308.10000000000002</c:v>
                </c:pt>
                <c:pt idx="44">
                  <c:v>-308.10000000000002</c:v>
                </c:pt>
                <c:pt idx="45">
                  <c:v>-308.10000000000002</c:v>
                </c:pt>
                <c:pt idx="46">
                  <c:v>-308.09999999999997</c:v>
                </c:pt>
                <c:pt idx="47">
                  <c:v>-308.09999999999997</c:v>
                </c:pt>
                <c:pt idx="48">
                  <c:v>-412.52289942985408</c:v>
                </c:pt>
                <c:pt idx="49">
                  <c:v>-412.52289942985408</c:v>
                </c:pt>
                <c:pt idx="50">
                  <c:v>-412.52289942985408</c:v>
                </c:pt>
                <c:pt idx="51">
                  <c:v>-528.57731696922326</c:v>
                </c:pt>
                <c:pt idx="52">
                  <c:v>-528.57731696922326</c:v>
                </c:pt>
                <c:pt idx="53">
                  <c:v>-528.57731696922326</c:v>
                </c:pt>
                <c:pt idx="54">
                  <c:v>-579.21807037065855</c:v>
                </c:pt>
                <c:pt idx="55">
                  <c:v>-579.21807037065855</c:v>
                </c:pt>
                <c:pt idx="56">
                  <c:v>-579.21807037065855</c:v>
                </c:pt>
                <c:pt idx="57">
                  <c:v>-635.31244336917189</c:v>
                </c:pt>
                <c:pt idx="58">
                  <c:v>-635.31244336917189</c:v>
                </c:pt>
                <c:pt idx="59">
                  <c:v>-635.31244336917189</c:v>
                </c:pt>
                <c:pt idx="60">
                  <c:v>-823.07277521141668</c:v>
                </c:pt>
                <c:pt idx="61">
                  <c:v>-823.07277521141668</c:v>
                </c:pt>
                <c:pt idx="62">
                  <c:v>-823.07277521141668</c:v>
                </c:pt>
                <c:pt idx="63">
                  <c:v>-1037.9171005701457</c:v>
                </c:pt>
                <c:pt idx="64">
                  <c:v>-1037.9171005701457</c:v>
                </c:pt>
                <c:pt idx="65">
                  <c:v>-1037.9171005701457</c:v>
                </c:pt>
                <c:pt idx="66">
                  <c:v>-1142.3399999999997</c:v>
                </c:pt>
                <c:pt idx="67">
                  <c:v>-1142.3399999999997</c:v>
                </c:pt>
                <c:pt idx="68">
                  <c:v>-1142.3399999999997</c:v>
                </c:pt>
                <c:pt idx="69">
                  <c:v>-1142.3399999999997</c:v>
                </c:pt>
                <c:pt idx="70">
                  <c:v>-1142.3399999999997</c:v>
                </c:pt>
                <c:pt idx="71">
                  <c:v>-1142.3399999999997</c:v>
                </c:pt>
                <c:pt idx="72">
                  <c:v>-1142.3399999999997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4F4-43A6-953E-010F2EC87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9148224"/>
        <c:axId val="1"/>
      </c:scatterChart>
      <c:valAx>
        <c:axId val="319148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029"/>
                  <a:t>Length</a:t>
                </a:r>
              </a:p>
            </c:rich>
          </c:tx>
          <c:layout>
            <c:manualLayout>
              <c:xMode val="edge"/>
              <c:yMode val="edge"/>
              <c:x val="0.50347320969627496"/>
              <c:y val="0.8991620165126418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029"/>
                  <a:t>Area</a:t>
                </a:r>
              </a:p>
            </c:rich>
          </c:tx>
          <c:layout>
            <c:manualLayout>
              <c:xMode val="edge"/>
              <c:yMode val="edge"/>
              <c:x val="2.7777853591524626E-2"/>
              <c:y val="0.4509815684804105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9148224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84741354609773"/>
          <c:y val="2.6929982046678635E-2"/>
          <c:w val="0.86111257105945338"/>
          <c:h val="0.85996409335727109"/>
        </c:manualLayout>
      </c:layout>
      <c:scatterChart>
        <c:scatterStyle val="lineMarker"/>
        <c:varyColors val="0"/>
        <c:ser>
          <c:idx val="1"/>
          <c:order val="0"/>
          <c:tx>
            <c:v>Outline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Panels!$F$9:$F$80</c:f>
              <c:numCache>
                <c:formatCode>0.0</c:formatCode>
                <c:ptCount val="72"/>
                <c:pt idx="0">
                  <c:v>83.2</c:v>
                </c:pt>
                <c:pt idx="1">
                  <c:v>83.2</c:v>
                </c:pt>
                <c:pt idx="2">
                  <c:v>85</c:v>
                </c:pt>
                <c:pt idx="3">
                  <c:v>85</c:v>
                </c:pt>
                <c:pt idx="4">
                  <c:v>83.2</c:v>
                </c:pt>
                <c:pt idx="6">
                  <c:v>0</c:v>
                </c:pt>
                <c:pt idx="7">
                  <c:v>0</c:v>
                </c:pt>
                <c:pt idx="8">
                  <c:v>1.8</c:v>
                </c:pt>
                <c:pt idx="9">
                  <c:v>1.8</c:v>
                </c:pt>
                <c:pt idx="10">
                  <c:v>0</c:v>
                </c:pt>
                <c:pt idx="12">
                  <c:v>43.4</c:v>
                </c:pt>
                <c:pt idx="13">
                  <c:v>43.4</c:v>
                </c:pt>
                <c:pt idx="14">
                  <c:v>41.6</c:v>
                </c:pt>
                <c:pt idx="15">
                  <c:v>41.6</c:v>
                </c:pt>
                <c:pt idx="16">
                  <c:v>43.4</c:v>
                </c:pt>
                <c:pt idx="18">
                  <c:v>85</c:v>
                </c:pt>
                <c:pt idx="19">
                  <c:v>0</c:v>
                </c:pt>
                <c:pt idx="20">
                  <c:v>0</c:v>
                </c:pt>
                <c:pt idx="21">
                  <c:v>85</c:v>
                </c:pt>
                <c:pt idx="22">
                  <c:v>85</c:v>
                </c:pt>
                <c:pt idx="24">
                  <c:v>0</c:v>
                </c:pt>
                <c:pt idx="25">
                  <c:v>85</c:v>
                </c:pt>
                <c:pt idx="26">
                  <c:v>85</c:v>
                </c:pt>
                <c:pt idx="27">
                  <c:v>0</c:v>
                </c:pt>
                <c:pt idx="28">
                  <c:v>0</c:v>
                </c:pt>
                <c:pt idx="30">
                  <c:v>85</c:v>
                </c:pt>
                <c:pt idx="31">
                  <c:v>66.599999999999994</c:v>
                </c:pt>
                <c:pt idx="32">
                  <c:v>66.599999999999994</c:v>
                </c:pt>
                <c:pt idx="33">
                  <c:v>85</c:v>
                </c:pt>
                <c:pt idx="34">
                  <c:v>85</c:v>
                </c:pt>
                <c:pt idx="36">
                  <c:v>0</c:v>
                </c:pt>
                <c:pt idx="37">
                  <c:v>18.399999999999999</c:v>
                </c:pt>
                <c:pt idx="38">
                  <c:v>18.399999999999999</c:v>
                </c:pt>
                <c:pt idx="39">
                  <c:v>0</c:v>
                </c:pt>
                <c:pt idx="40">
                  <c:v>0</c:v>
                </c:pt>
                <c:pt idx="42">
                  <c:v>76.699999999999989</c:v>
                </c:pt>
                <c:pt idx="43">
                  <c:v>76.699999999999989</c:v>
                </c:pt>
                <c:pt idx="44">
                  <c:v>8.2999999999999972</c:v>
                </c:pt>
                <c:pt idx="45">
                  <c:v>8.2999999999999972</c:v>
                </c:pt>
                <c:pt idx="46">
                  <c:v>76.699999999999989</c:v>
                </c:pt>
                <c:pt idx="48">
                  <c:v>8.2999999999999972</c:v>
                </c:pt>
                <c:pt idx="49">
                  <c:v>8.2999999999999972</c:v>
                </c:pt>
                <c:pt idx="50">
                  <c:v>10.099999999999998</c:v>
                </c:pt>
                <c:pt idx="51">
                  <c:v>10.099999999999998</c:v>
                </c:pt>
                <c:pt idx="52">
                  <c:v>8.2999999999999972</c:v>
                </c:pt>
                <c:pt idx="54">
                  <c:v>74.899999999999991</c:v>
                </c:pt>
                <c:pt idx="55">
                  <c:v>74.899999999999991</c:v>
                </c:pt>
                <c:pt idx="56">
                  <c:v>76.699999999999989</c:v>
                </c:pt>
                <c:pt idx="57">
                  <c:v>76.699999999999989</c:v>
                </c:pt>
                <c:pt idx="58">
                  <c:v>74.899999999999991</c:v>
                </c:pt>
                <c:pt idx="60">
                  <c:v>66.599999999999994</c:v>
                </c:pt>
                <c:pt idx="61">
                  <c:v>66.599999999999994</c:v>
                </c:pt>
                <c:pt idx="62">
                  <c:v>68.399999999999991</c:v>
                </c:pt>
                <c:pt idx="63">
                  <c:v>68.399999999999991</c:v>
                </c:pt>
                <c:pt idx="64">
                  <c:v>66.599999999999994</c:v>
                </c:pt>
                <c:pt idx="66">
                  <c:v>16.599999999999998</c:v>
                </c:pt>
                <c:pt idx="67">
                  <c:v>16.599999999999998</c:v>
                </c:pt>
                <c:pt idx="68">
                  <c:v>18.399999999999999</c:v>
                </c:pt>
                <c:pt idx="69">
                  <c:v>18.399999999999999</c:v>
                </c:pt>
                <c:pt idx="70">
                  <c:v>16.599999999999998</c:v>
                </c:pt>
              </c:numCache>
            </c:numRef>
          </c:xVal>
          <c:yVal>
            <c:numRef>
              <c:f>Panels!$G$9:$G$80</c:f>
              <c:numCache>
                <c:formatCode>0.0</c:formatCode>
                <c:ptCount val="72"/>
                <c:pt idx="0">
                  <c:v>83.2</c:v>
                </c:pt>
                <c:pt idx="1">
                  <c:v>1.8</c:v>
                </c:pt>
                <c:pt idx="2">
                  <c:v>1.8</c:v>
                </c:pt>
                <c:pt idx="3">
                  <c:v>83.2</c:v>
                </c:pt>
                <c:pt idx="4">
                  <c:v>83.2</c:v>
                </c:pt>
                <c:pt idx="6">
                  <c:v>83.2</c:v>
                </c:pt>
                <c:pt idx="7">
                  <c:v>1.8</c:v>
                </c:pt>
                <c:pt idx="8">
                  <c:v>1.8</c:v>
                </c:pt>
                <c:pt idx="9">
                  <c:v>83.2</c:v>
                </c:pt>
                <c:pt idx="10">
                  <c:v>83.2</c:v>
                </c:pt>
                <c:pt idx="12">
                  <c:v>1.8</c:v>
                </c:pt>
                <c:pt idx="13">
                  <c:v>8.3000000000000007</c:v>
                </c:pt>
                <c:pt idx="14">
                  <c:v>8.3000000000000007</c:v>
                </c:pt>
                <c:pt idx="15">
                  <c:v>1.8</c:v>
                </c:pt>
                <c:pt idx="16">
                  <c:v>1.8</c:v>
                </c:pt>
                <c:pt idx="18">
                  <c:v>85</c:v>
                </c:pt>
                <c:pt idx="19">
                  <c:v>85</c:v>
                </c:pt>
                <c:pt idx="20">
                  <c:v>0</c:v>
                </c:pt>
                <c:pt idx="21">
                  <c:v>0</c:v>
                </c:pt>
                <c:pt idx="22">
                  <c:v>85</c:v>
                </c:pt>
                <c:pt idx="24">
                  <c:v>0</c:v>
                </c:pt>
                <c:pt idx="25">
                  <c:v>0</c:v>
                </c:pt>
                <c:pt idx="26">
                  <c:v>1.8</c:v>
                </c:pt>
                <c:pt idx="27">
                  <c:v>1.8</c:v>
                </c:pt>
                <c:pt idx="28">
                  <c:v>0</c:v>
                </c:pt>
                <c:pt idx="30">
                  <c:v>85</c:v>
                </c:pt>
                <c:pt idx="31">
                  <c:v>85</c:v>
                </c:pt>
                <c:pt idx="32">
                  <c:v>83.2</c:v>
                </c:pt>
                <c:pt idx="33">
                  <c:v>83.2</c:v>
                </c:pt>
                <c:pt idx="34">
                  <c:v>85</c:v>
                </c:pt>
                <c:pt idx="36">
                  <c:v>85</c:v>
                </c:pt>
                <c:pt idx="37">
                  <c:v>85</c:v>
                </c:pt>
                <c:pt idx="38">
                  <c:v>83.2</c:v>
                </c:pt>
                <c:pt idx="39">
                  <c:v>83.2</c:v>
                </c:pt>
                <c:pt idx="40">
                  <c:v>85</c:v>
                </c:pt>
                <c:pt idx="42">
                  <c:v>8.3000000000000007</c:v>
                </c:pt>
                <c:pt idx="43">
                  <c:v>10.100000000000001</c:v>
                </c:pt>
                <c:pt idx="44">
                  <c:v>10.100000000000001</c:v>
                </c:pt>
                <c:pt idx="45">
                  <c:v>8.3000000000000007</c:v>
                </c:pt>
                <c:pt idx="46">
                  <c:v>8.3000000000000007</c:v>
                </c:pt>
                <c:pt idx="48">
                  <c:v>10.100000000000001</c:v>
                </c:pt>
                <c:pt idx="49">
                  <c:v>76.700000000000017</c:v>
                </c:pt>
                <c:pt idx="50">
                  <c:v>76.700000000000017</c:v>
                </c:pt>
                <c:pt idx="51">
                  <c:v>10.100000000000001</c:v>
                </c:pt>
                <c:pt idx="52">
                  <c:v>10.100000000000001</c:v>
                </c:pt>
                <c:pt idx="54">
                  <c:v>10.100000000000001</c:v>
                </c:pt>
                <c:pt idx="55">
                  <c:v>76.700000000000017</c:v>
                </c:pt>
                <c:pt idx="56">
                  <c:v>76.700000000000017</c:v>
                </c:pt>
                <c:pt idx="57">
                  <c:v>10.100000000000001</c:v>
                </c:pt>
                <c:pt idx="58">
                  <c:v>10.100000000000001</c:v>
                </c:pt>
                <c:pt idx="60">
                  <c:v>83.2</c:v>
                </c:pt>
                <c:pt idx="61">
                  <c:v>23.503213828860829</c:v>
                </c:pt>
                <c:pt idx="62">
                  <c:v>23.503213828860829</c:v>
                </c:pt>
                <c:pt idx="63">
                  <c:v>83.2</c:v>
                </c:pt>
                <c:pt idx="64">
                  <c:v>83.2</c:v>
                </c:pt>
                <c:pt idx="66">
                  <c:v>83.2</c:v>
                </c:pt>
                <c:pt idx="67">
                  <c:v>23.503213828860829</c:v>
                </c:pt>
                <c:pt idx="68">
                  <c:v>23.503213828860829</c:v>
                </c:pt>
                <c:pt idx="69">
                  <c:v>83.2</c:v>
                </c:pt>
                <c:pt idx="70">
                  <c:v>83.2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1F7-4412-B887-44F61B9F5490}"/>
            </c:ext>
          </c:extLst>
        </c:ser>
        <c:ser>
          <c:idx val="5"/>
          <c:order val="1"/>
          <c:tx>
            <c:v>Option 7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4"/>
            <c:spPr>
              <a:noFill/>
              <a:ln>
                <a:noFill/>
                <a:prstDash val="solid"/>
              </a:ln>
            </c:spPr>
          </c:marker>
          <c:xVal>
            <c:numRef>
              <c:f>Path!$F$19:$F$93</c:f>
              <c:numCache>
                <c:formatCode>0.0</c:formatCode>
                <c:ptCount val="75"/>
                <c:pt idx="0">
                  <c:v>43.4</c:v>
                </c:pt>
                <c:pt idx="1">
                  <c:v>43.4</c:v>
                </c:pt>
                <c:pt idx="3">
                  <c:v>76.699999999999989</c:v>
                </c:pt>
                <c:pt idx="4">
                  <c:v>76.699999999999989</c:v>
                </c:pt>
                <c:pt idx="6">
                  <c:v>76.699999999999989</c:v>
                </c:pt>
                <c:pt idx="7">
                  <c:v>79.949999999999989</c:v>
                </c:pt>
                <c:pt idx="9">
                  <c:v>76.699999999999989</c:v>
                </c:pt>
                <c:pt idx="10">
                  <c:v>83.2</c:v>
                </c:pt>
                <c:pt idx="12">
                  <c:v>76.699999999999989</c:v>
                </c:pt>
                <c:pt idx="13">
                  <c:v>83.2</c:v>
                </c:pt>
                <c:pt idx="15">
                  <c:v>83.2</c:v>
                </c:pt>
                <c:pt idx="16">
                  <c:v>76.699999999999989</c:v>
                </c:pt>
                <c:pt idx="18">
                  <c:v>83.2</c:v>
                </c:pt>
                <c:pt idx="19">
                  <c:v>76.699999999999989</c:v>
                </c:pt>
                <c:pt idx="21">
                  <c:v>79.949999999999989</c:v>
                </c:pt>
                <c:pt idx="22">
                  <c:v>76.699999999999989</c:v>
                </c:pt>
                <c:pt idx="24">
                  <c:v>76.699999999999989</c:v>
                </c:pt>
                <c:pt idx="25">
                  <c:v>76.699999999999989</c:v>
                </c:pt>
                <c:pt idx="27">
                  <c:v>75.799999999999983</c:v>
                </c:pt>
                <c:pt idx="28">
                  <c:v>75.799999999999983</c:v>
                </c:pt>
                <c:pt idx="30">
                  <c:v>74.899999999999991</c:v>
                </c:pt>
                <c:pt idx="31">
                  <c:v>74.899999999999991</c:v>
                </c:pt>
                <c:pt idx="33">
                  <c:v>74.899999999999991</c:v>
                </c:pt>
                <c:pt idx="34">
                  <c:v>71.649999999999991</c:v>
                </c:pt>
                <c:pt idx="36">
                  <c:v>74.899999999999991</c:v>
                </c:pt>
                <c:pt idx="37">
                  <c:v>68.399999999999991</c:v>
                </c:pt>
                <c:pt idx="39">
                  <c:v>74.899999999999991</c:v>
                </c:pt>
                <c:pt idx="40">
                  <c:v>68.399999999999991</c:v>
                </c:pt>
                <c:pt idx="42">
                  <c:v>68.399999999999991</c:v>
                </c:pt>
                <c:pt idx="43">
                  <c:v>74.899999999999991</c:v>
                </c:pt>
                <c:pt idx="45">
                  <c:v>68.399999999999991</c:v>
                </c:pt>
                <c:pt idx="46">
                  <c:v>74.899999999999991</c:v>
                </c:pt>
                <c:pt idx="48">
                  <c:v>68.399999999999991</c:v>
                </c:pt>
                <c:pt idx="49">
                  <c:v>74.899999999999991</c:v>
                </c:pt>
                <c:pt idx="51">
                  <c:v>68.399999999999991</c:v>
                </c:pt>
                <c:pt idx="52">
                  <c:v>71.649999999999991</c:v>
                </c:pt>
                <c:pt idx="54">
                  <c:v>68.399999999999991</c:v>
                </c:pt>
                <c:pt idx="55">
                  <c:v>68.399999999999991</c:v>
                </c:pt>
                <c:pt idx="57">
                  <c:v>66.599999999999994</c:v>
                </c:pt>
                <c:pt idx="58">
                  <c:v>66.599999999999994</c:v>
                </c:pt>
                <c:pt idx="60">
                  <c:v>54.55</c:v>
                </c:pt>
                <c:pt idx="61">
                  <c:v>66.599999999999994</c:v>
                </c:pt>
                <c:pt idx="63">
                  <c:v>42.5</c:v>
                </c:pt>
                <c:pt idx="64">
                  <c:v>66.599999999999994</c:v>
                </c:pt>
                <c:pt idx="66">
                  <c:v>42.5</c:v>
                </c:pt>
                <c:pt idx="67">
                  <c:v>66.599999999999994</c:v>
                </c:pt>
                <c:pt idx="69">
                  <c:v>42.5</c:v>
                </c:pt>
                <c:pt idx="70">
                  <c:v>66.599999999999994</c:v>
                </c:pt>
                <c:pt idx="72">
                  <c:v>42.5</c:v>
                </c:pt>
                <c:pt idx="73">
                  <c:v>66.599999999999994</c:v>
                </c:pt>
              </c:numCache>
            </c:numRef>
          </c:xVal>
          <c:yVal>
            <c:numRef>
              <c:f>Path!$G$19:$G$93</c:f>
              <c:numCache>
                <c:formatCode>0.0</c:formatCode>
                <c:ptCount val="75"/>
                <c:pt idx="0">
                  <c:v>8.3000000000000007</c:v>
                </c:pt>
                <c:pt idx="1">
                  <c:v>1.8</c:v>
                </c:pt>
                <c:pt idx="3">
                  <c:v>8.3000000000000007</c:v>
                </c:pt>
                <c:pt idx="4">
                  <c:v>1.8</c:v>
                </c:pt>
                <c:pt idx="6">
                  <c:v>8.3000000000000007</c:v>
                </c:pt>
                <c:pt idx="7">
                  <c:v>1.8</c:v>
                </c:pt>
                <c:pt idx="9">
                  <c:v>8.3000000000000007</c:v>
                </c:pt>
                <c:pt idx="10">
                  <c:v>5.0500000000000007</c:v>
                </c:pt>
                <c:pt idx="12">
                  <c:v>8.3000000000000007</c:v>
                </c:pt>
                <c:pt idx="13">
                  <c:v>8.3000000000000007</c:v>
                </c:pt>
                <c:pt idx="15">
                  <c:v>76.700000000000017</c:v>
                </c:pt>
                <c:pt idx="16">
                  <c:v>76.700000000000017</c:v>
                </c:pt>
                <c:pt idx="18">
                  <c:v>79.950000000000017</c:v>
                </c:pt>
                <c:pt idx="19">
                  <c:v>76.700000000000017</c:v>
                </c:pt>
                <c:pt idx="21">
                  <c:v>83.2</c:v>
                </c:pt>
                <c:pt idx="22">
                  <c:v>76.700000000000017</c:v>
                </c:pt>
                <c:pt idx="24">
                  <c:v>83.2</c:v>
                </c:pt>
                <c:pt idx="25">
                  <c:v>76.700000000000017</c:v>
                </c:pt>
                <c:pt idx="27">
                  <c:v>76.700000000000017</c:v>
                </c:pt>
                <c:pt idx="28">
                  <c:v>83.2</c:v>
                </c:pt>
                <c:pt idx="30">
                  <c:v>76.700000000000017</c:v>
                </c:pt>
                <c:pt idx="31">
                  <c:v>83.2</c:v>
                </c:pt>
                <c:pt idx="33">
                  <c:v>76.700000000000017</c:v>
                </c:pt>
                <c:pt idx="34">
                  <c:v>83.2</c:v>
                </c:pt>
                <c:pt idx="36">
                  <c:v>76.700000000000017</c:v>
                </c:pt>
                <c:pt idx="37">
                  <c:v>79.950000000000017</c:v>
                </c:pt>
                <c:pt idx="39">
                  <c:v>76.700000000000017</c:v>
                </c:pt>
                <c:pt idx="40">
                  <c:v>76.700000000000017</c:v>
                </c:pt>
                <c:pt idx="42">
                  <c:v>50.10160691443042</c:v>
                </c:pt>
                <c:pt idx="43">
                  <c:v>50.10160691443042</c:v>
                </c:pt>
                <c:pt idx="45">
                  <c:v>23.503213828860829</c:v>
                </c:pt>
                <c:pt idx="46">
                  <c:v>23.503213828860829</c:v>
                </c:pt>
                <c:pt idx="48">
                  <c:v>23.503213828860829</c:v>
                </c:pt>
                <c:pt idx="49">
                  <c:v>16.801606914430415</c:v>
                </c:pt>
                <c:pt idx="51">
                  <c:v>23.503213828860829</c:v>
                </c:pt>
                <c:pt idx="52">
                  <c:v>10.100000000000001</c:v>
                </c:pt>
                <c:pt idx="54">
                  <c:v>23.503213828860829</c:v>
                </c:pt>
                <c:pt idx="55">
                  <c:v>10.100000000000001</c:v>
                </c:pt>
                <c:pt idx="57">
                  <c:v>23.503213828860829</c:v>
                </c:pt>
                <c:pt idx="58">
                  <c:v>10.100000000000001</c:v>
                </c:pt>
                <c:pt idx="60">
                  <c:v>10.100000000000001</c:v>
                </c:pt>
                <c:pt idx="61">
                  <c:v>23.503213828860829</c:v>
                </c:pt>
                <c:pt idx="63">
                  <c:v>16.801606914430415</c:v>
                </c:pt>
                <c:pt idx="64">
                  <c:v>23.503213828860829</c:v>
                </c:pt>
                <c:pt idx="66">
                  <c:v>23.503213828860829</c:v>
                </c:pt>
                <c:pt idx="67">
                  <c:v>23.503213828860829</c:v>
                </c:pt>
                <c:pt idx="69">
                  <c:v>54.251606914430411</c:v>
                </c:pt>
                <c:pt idx="70">
                  <c:v>54.251606914430411</c:v>
                </c:pt>
                <c:pt idx="72">
                  <c:v>85</c:v>
                </c:pt>
                <c:pt idx="73">
                  <c:v>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1F7-4412-B887-44F61B9F5490}"/>
            </c:ext>
          </c:extLst>
        </c:ser>
        <c:ser>
          <c:idx val="6"/>
          <c:order val="2"/>
          <c:tx>
            <c:v>Driver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Panels!$F$98:$F$113</c:f>
              <c:numCache>
                <c:formatCode>0.0</c:formatCode>
                <c:ptCount val="16"/>
                <c:pt idx="0">
                  <c:v>65.849999999999994</c:v>
                </c:pt>
                <c:pt idx="1">
                  <c:v>42.499999999999993</c:v>
                </c:pt>
                <c:pt idx="2">
                  <c:v>42.499999999999993</c:v>
                </c:pt>
                <c:pt idx="3">
                  <c:v>54.499999999999993</c:v>
                </c:pt>
                <c:pt idx="4">
                  <c:v>54.499999999999993</c:v>
                </c:pt>
                <c:pt idx="5">
                  <c:v>63.599999999999994</c:v>
                </c:pt>
                <c:pt idx="7">
                  <c:v>19.149999999999991</c:v>
                </c:pt>
                <c:pt idx="8">
                  <c:v>42.499999999999993</c:v>
                </c:pt>
                <c:pt idx="9">
                  <c:v>42.499999999999993</c:v>
                </c:pt>
                <c:pt idx="10">
                  <c:v>30.499999999999993</c:v>
                </c:pt>
                <c:pt idx="11">
                  <c:v>30.499999999999993</c:v>
                </c:pt>
                <c:pt idx="12">
                  <c:v>21.399999999999991</c:v>
                </c:pt>
                <c:pt idx="14">
                  <c:v>30.499999999999993</c:v>
                </c:pt>
                <c:pt idx="15">
                  <c:v>54.499999999999993</c:v>
                </c:pt>
              </c:numCache>
            </c:numRef>
          </c:xVal>
          <c:yVal>
            <c:numRef>
              <c:f>Panels!$G$98:$G$113</c:f>
              <c:numCache>
                <c:formatCode>0.0</c:formatCode>
                <c:ptCount val="16"/>
                <c:pt idx="0">
                  <c:v>10.100000000000001</c:v>
                </c:pt>
                <c:pt idx="1">
                  <c:v>10.100000000000001</c:v>
                </c:pt>
                <c:pt idx="2">
                  <c:v>31</c:v>
                </c:pt>
                <c:pt idx="3">
                  <c:v>31</c:v>
                </c:pt>
                <c:pt idx="4">
                  <c:v>25</c:v>
                </c:pt>
                <c:pt idx="5">
                  <c:v>10.100000000000001</c:v>
                </c:pt>
                <c:pt idx="7">
                  <c:v>10.100000000000001</c:v>
                </c:pt>
                <c:pt idx="8">
                  <c:v>10.100000000000001</c:v>
                </c:pt>
                <c:pt idx="9">
                  <c:v>31</c:v>
                </c:pt>
                <c:pt idx="10">
                  <c:v>31</c:v>
                </c:pt>
                <c:pt idx="11">
                  <c:v>25</c:v>
                </c:pt>
                <c:pt idx="12">
                  <c:v>10.100000000000001</c:v>
                </c:pt>
                <c:pt idx="14">
                  <c:v>25</c:v>
                </c:pt>
                <c:pt idx="15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1F7-4412-B887-44F61B9F5490}"/>
            </c:ext>
          </c:extLst>
        </c:ser>
        <c:ser>
          <c:idx val="2"/>
          <c:order val="3"/>
          <c:tx>
            <c:v>Adv Centerline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noFill/>
                <a:prstDash val="solid"/>
              </a:ln>
            </c:spPr>
          </c:marker>
          <c:xVal>
            <c:numRef>
              <c:f>Path!$J$19:$J$93</c:f>
              <c:numCache>
                <c:formatCode>0.0</c:formatCode>
                <c:ptCount val="75"/>
                <c:pt idx="0">
                  <c:v>43.4</c:v>
                </c:pt>
                <c:pt idx="1">
                  <c:v>43.4</c:v>
                </c:pt>
                <c:pt idx="2">
                  <c:v>43.4</c:v>
                </c:pt>
                <c:pt idx="3">
                  <c:v>76.699999999999989</c:v>
                </c:pt>
                <c:pt idx="4">
                  <c:v>76.699999999999989</c:v>
                </c:pt>
                <c:pt idx="5">
                  <c:v>76.699999999999989</c:v>
                </c:pt>
                <c:pt idx="6">
                  <c:v>78.324999999999989</c:v>
                </c:pt>
                <c:pt idx="7">
                  <c:v>78.324999999999989</c:v>
                </c:pt>
                <c:pt idx="8">
                  <c:v>78.324999999999989</c:v>
                </c:pt>
                <c:pt idx="9">
                  <c:v>79.949999999999989</c:v>
                </c:pt>
                <c:pt idx="10">
                  <c:v>79.949999999999989</c:v>
                </c:pt>
                <c:pt idx="11">
                  <c:v>79.949999999999989</c:v>
                </c:pt>
                <c:pt idx="12">
                  <c:v>79.949999999999989</c:v>
                </c:pt>
                <c:pt idx="13">
                  <c:v>79.949999999999989</c:v>
                </c:pt>
                <c:pt idx="14">
                  <c:v>79.949999999999989</c:v>
                </c:pt>
                <c:pt idx="15">
                  <c:v>79.949999999999989</c:v>
                </c:pt>
                <c:pt idx="16">
                  <c:v>79.949999999999989</c:v>
                </c:pt>
                <c:pt idx="17">
                  <c:v>79.949999999999989</c:v>
                </c:pt>
                <c:pt idx="18">
                  <c:v>79.949999999999989</c:v>
                </c:pt>
                <c:pt idx="19">
                  <c:v>79.949999999999989</c:v>
                </c:pt>
                <c:pt idx="20">
                  <c:v>79.949999999999989</c:v>
                </c:pt>
                <c:pt idx="21">
                  <c:v>78.324999999999989</c:v>
                </c:pt>
                <c:pt idx="22">
                  <c:v>78.324999999999989</c:v>
                </c:pt>
                <c:pt idx="23">
                  <c:v>78.324999999999989</c:v>
                </c:pt>
                <c:pt idx="24">
                  <c:v>76.699999999999989</c:v>
                </c:pt>
                <c:pt idx="25">
                  <c:v>76.699999999999989</c:v>
                </c:pt>
                <c:pt idx="26">
                  <c:v>76.699999999999989</c:v>
                </c:pt>
                <c:pt idx="27">
                  <c:v>75.799999999999983</c:v>
                </c:pt>
                <c:pt idx="28">
                  <c:v>75.799999999999983</c:v>
                </c:pt>
                <c:pt idx="29">
                  <c:v>75.799999999999983</c:v>
                </c:pt>
                <c:pt idx="30">
                  <c:v>74.899999999999991</c:v>
                </c:pt>
                <c:pt idx="31">
                  <c:v>74.899999999999991</c:v>
                </c:pt>
                <c:pt idx="32">
                  <c:v>74.899999999999991</c:v>
                </c:pt>
                <c:pt idx="33">
                  <c:v>73.274999999999991</c:v>
                </c:pt>
                <c:pt idx="34">
                  <c:v>73.274999999999991</c:v>
                </c:pt>
                <c:pt idx="35">
                  <c:v>73.274999999999991</c:v>
                </c:pt>
                <c:pt idx="36">
                  <c:v>71.649999999999991</c:v>
                </c:pt>
                <c:pt idx="37">
                  <c:v>71.649999999999991</c:v>
                </c:pt>
                <c:pt idx="38">
                  <c:v>71.649999999999991</c:v>
                </c:pt>
                <c:pt idx="39">
                  <c:v>71.649999999999991</c:v>
                </c:pt>
                <c:pt idx="40">
                  <c:v>71.649999999999991</c:v>
                </c:pt>
                <c:pt idx="41">
                  <c:v>71.649999999999991</c:v>
                </c:pt>
                <c:pt idx="42">
                  <c:v>71.649999999999991</c:v>
                </c:pt>
                <c:pt idx="43">
                  <c:v>71.649999999999991</c:v>
                </c:pt>
                <c:pt idx="44">
                  <c:v>71.649999999999991</c:v>
                </c:pt>
                <c:pt idx="45">
                  <c:v>71.649999999999991</c:v>
                </c:pt>
                <c:pt idx="46">
                  <c:v>71.649999999999991</c:v>
                </c:pt>
                <c:pt idx="47">
                  <c:v>71.649999999999991</c:v>
                </c:pt>
                <c:pt idx="48">
                  <c:v>71.649999999999991</c:v>
                </c:pt>
                <c:pt idx="49">
                  <c:v>71.649999999999991</c:v>
                </c:pt>
                <c:pt idx="50">
                  <c:v>71.649999999999991</c:v>
                </c:pt>
                <c:pt idx="51">
                  <c:v>70.024999999999991</c:v>
                </c:pt>
                <c:pt idx="52">
                  <c:v>70.024999999999991</c:v>
                </c:pt>
                <c:pt idx="53">
                  <c:v>70.024999999999991</c:v>
                </c:pt>
                <c:pt idx="54">
                  <c:v>68.399999999999991</c:v>
                </c:pt>
                <c:pt idx="55">
                  <c:v>68.399999999999991</c:v>
                </c:pt>
                <c:pt idx="56">
                  <c:v>68.399999999999991</c:v>
                </c:pt>
                <c:pt idx="57">
                  <c:v>66.599999999999994</c:v>
                </c:pt>
                <c:pt idx="58">
                  <c:v>66.599999999999994</c:v>
                </c:pt>
                <c:pt idx="59">
                  <c:v>66.599999999999994</c:v>
                </c:pt>
                <c:pt idx="60">
                  <c:v>60.574999999999996</c:v>
                </c:pt>
                <c:pt idx="61">
                  <c:v>60.574999999999996</c:v>
                </c:pt>
                <c:pt idx="62">
                  <c:v>60.574999999999996</c:v>
                </c:pt>
                <c:pt idx="63">
                  <c:v>54.55</c:v>
                </c:pt>
                <c:pt idx="64">
                  <c:v>54.55</c:v>
                </c:pt>
                <c:pt idx="65">
                  <c:v>54.55</c:v>
                </c:pt>
                <c:pt idx="66">
                  <c:v>54.55</c:v>
                </c:pt>
                <c:pt idx="67">
                  <c:v>54.55</c:v>
                </c:pt>
                <c:pt idx="68">
                  <c:v>54.55</c:v>
                </c:pt>
                <c:pt idx="69">
                  <c:v>54.55</c:v>
                </c:pt>
                <c:pt idx="70">
                  <c:v>54.55</c:v>
                </c:pt>
                <c:pt idx="71">
                  <c:v>54.55</c:v>
                </c:pt>
                <c:pt idx="72">
                  <c:v>54.55</c:v>
                </c:pt>
                <c:pt idx="73">
                  <c:v>54.55</c:v>
                </c:pt>
                <c:pt idx="74">
                  <c:v>54.55</c:v>
                </c:pt>
              </c:numCache>
            </c:numRef>
          </c:xVal>
          <c:yVal>
            <c:numRef>
              <c:f>Path!$K$19:$K$93</c:f>
              <c:numCache>
                <c:formatCode>0.0</c:formatCode>
                <c:ptCount val="75"/>
                <c:pt idx="0">
                  <c:v>5.0500000000000007</c:v>
                </c:pt>
                <c:pt idx="1">
                  <c:v>5.0500000000000007</c:v>
                </c:pt>
                <c:pt idx="2">
                  <c:v>5.0500000000000007</c:v>
                </c:pt>
                <c:pt idx="3">
                  <c:v>5.0500000000000007</c:v>
                </c:pt>
                <c:pt idx="4">
                  <c:v>5.0500000000000007</c:v>
                </c:pt>
                <c:pt idx="5">
                  <c:v>5.0500000000000007</c:v>
                </c:pt>
                <c:pt idx="6">
                  <c:v>5.0500000000000007</c:v>
                </c:pt>
                <c:pt idx="7">
                  <c:v>5.0500000000000007</c:v>
                </c:pt>
                <c:pt idx="8">
                  <c:v>5.0500000000000007</c:v>
                </c:pt>
                <c:pt idx="9">
                  <c:v>6.6750000000000007</c:v>
                </c:pt>
                <c:pt idx="10">
                  <c:v>6.6750000000000007</c:v>
                </c:pt>
                <c:pt idx="11">
                  <c:v>6.6750000000000007</c:v>
                </c:pt>
                <c:pt idx="12">
                  <c:v>8.3000000000000007</c:v>
                </c:pt>
                <c:pt idx="13">
                  <c:v>8.3000000000000007</c:v>
                </c:pt>
                <c:pt idx="14">
                  <c:v>8.3000000000000007</c:v>
                </c:pt>
                <c:pt idx="15">
                  <c:v>76.700000000000017</c:v>
                </c:pt>
                <c:pt idx="16">
                  <c:v>76.700000000000017</c:v>
                </c:pt>
                <c:pt idx="17">
                  <c:v>76.700000000000017</c:v>
                </c:pt>
                <c:pt idx="18">
                  <c:v>78.325000000000017</c:v>
                </c:pt>
                <c:pt idx="19">
                  <c:v>78.325000000000017</c:v>
                </c:pt>
                <c:pt idx="20">
                  <c:v>78.325000000000017</c:v>
                </c:pt>
                <c:pt idx="21">
                  <c:v>79.950000000000017</c:v>
                </c:pt>
                <c:pt idx="22">
                  <c:v>79.950000000000017</c:v>
                </c:pt>
                <c:pt idx="23">
                  <c:v>79.950000000000017</c:v>
                </c:pt>
                <c:pt idx="24">
                  <c:v>79.950000000000017</c:v>
                </c:pt>
                <c:pt idx="25">
                  <c:v>79.950000000000017</c:v>
                </c:pt>
                <c:pt idx="26">
                  <c:v>79.950000000000017</c:v>
                </c:pt>
                <c:pt idx="27">
                  <c:v>79.950000000000017</c:v>
                </c:pt>
                <c:pt idx="28">
                  <c:v>79.950000000000017</c:v>
                </c:pt>
                <c:pt idx="29">
                  <c:v>79.950000000000017</c:v>
                </c:pt>
                <c:pt idx="30">
                  <c:v>79.950000000000017</c:v>
                </c:pt>
                <c:pt idx="31">
                  <c:v>79.950000000000017</c:v>
                </c:pt>
                <c:pt idx="32">
                  <c:v>79.950000000000017</c:v>
                </c:pt>
                <c:pt idx="33">
                  <c:v>79.950000000000017</c:v>
                </c:pt>
                <c:pt idx="34">
                  <c:v>79.950000000000017</c:v>
                </c:pt>
                <c:pt idx="35">
                  <c:v>79.950000000000017</c:v>
                </c:pt>
                <c:pt idx="36">
                  <c:v>78.325000000000017</c:v>
                </c:pt>
                <c:pt idx="37">
                  <c:v>78.325000000000017</c:v>
                </c:pt>
                <c:pt idx="38">
                  <c:v>78.325000000000017</c:v>
                </c:pt>
                <c:pt idx="39">
                  <c:v>76.700000000000017</c:v>
                </c:pt>
                <c:pt idx="40">
                  <c:v>76.700000000000017</c:v>
                </c:pt>
                <c:pt idx="41">
                  <c:v>76.700000000000017</c:v>
                </c:pt>
                <c:pt idx="42">
                  <c:v>50.10160691443042</c:v>
                </c:pt>
                <c:pt idx="43">
                  <c:v>50.10160691443042</c:v>
                </c:pt>
                <c:pt idx="44">
                  <c:v>50.10160691443042</c:v>
                </c:pt>
                <c:pt idx="45">
                  <c:v>23.503213828860829</c:v>
                </c:pt>
                <c:pt idx="46">
                  <c:v>23.503213828860829</c:v>
                </c:pt>
                <c:pt idx="47">
                  <c:v>23.503213828860829</c:v>
                </c:pt>
                <c:pt idx="48">
                  <c:v>20.152410371645622</c:v>
                </c:pt>
                <c:pt idx="49">
                  <c:v>20.152410371645622</c:v>
                </c:pt>
                <c:pt idx="50">
                  <c:v>20.152410371645622</c:v>
                </c:pt>
                <c:pt idx="51">
                  <c:v>16.801606914430415</c:v>
                </c:pt>
                <c:pt idx="52">
                  <c:v>16.801606914430415</c:v>
                </c:pt>
                <c:pt idx="53">
                  <c:v>16.801606914430415</c:v>
                </c:pt>
                <c:pt idx="54">
                  <c:v>16.801606914430415</c:v>
                </c:pt>
                <c:pt idx="55">
                  <c:v>16.801606914430415</c:v>
                </c:pt>
                <c:pt idx="56">
                  <c:v>16.801606914430415</c:v>
                </c:pt>
                <c:pt idx="57">
                  <c:v>16.801606914430415</c:v>
                </c:pt>
                <c:pt idx="58">
                  <c:v>16.801606914430415</c:v>
                </c:pt>
                <c:pt idx="59">
                  <c:v>16.801606914430415</c:v>
                </c:pt>
                <c:pt idx="60">
                  <c:v>16.801606914430415</c:v>
                </c:pt>
                <c:pt idx="61">
                  <c:v>16.801606914430415</c:v>
                </c:pt>
                <c:pt idx="62">
                  <c:v>16.801606914430415</c:v>
                </c:pt>
                <c:pt idx="63">
                  <c:v>20.152410371645622</c:v>
                </c:pt>
                <c:pt idx="64">
                  <c:v>20.152410371645622</c:v>
                </c:pt>
                <c:pt idx="65">
                  <c:v>20.152410371645622</c:v>
                </c:pt>
                <c:pt idx="66">
                  <c:v>23.503213828860829</c:v>
                </c:pt>
                <c:pt idx="67">
                  <c:v>23.503213828860829</c:v>
                </c:pt>
                <c:pt idx="68">
                  <c:v>23.503213828860829</c:v>
                </c:pt>
                <c:pt idx="69">
                  <c:v>54.251606914430411</c:v>
                </c:pt>
                <c:pt idx="70">
                  <c:v>54.251606914430411</c:v>
                </c:pt>
                <c:pt idx="71">
                  <c:v>54.251606914430411</c:v>
                </c:pt>
                <c:pt idx="72">
                  <c:v>85</c:v>
                </c:pt>
                <c:pt idx="73">
                  <c:v>85</c:v>
                </c:pt>
                <c:pt idx="74">
                  <c:v>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1F7-4412-B887-44F61B9F5490}"/>
            </c:ext>
          </c:extLst>
        </c:ser>
        <c:ser>
          <c:idx val="0"/>
          <c:order val="4"/>
          <c:tx>
            <c:v>Axes</c:v>
          </c:tx>
          <c:spPr>
            <a:ln w="0"/>
          </c:spPr>
          <c:marker>
            <c:symbol val="none"/>
          </c:marker>
          <c:xVal>
            <c:numRef>
              <c:f>Panels!$F$84:$F$88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85</c:v>
                </c:pt>
              </c:numCache>
            </c:numRef>
          </c:xVal>
          <c:yVal>
            <c:numRef>
              <c:f>Panels!$G$84:$G$88</c:f>
              <c:numCache>
                <c:formatCode>0.0</c:formatCode>
                <c:ptCount val="5"/>
                <c:pt idx="0">
                  <c:v>0</c:v>
                </c:pt>
                <c:pt idx="1">
                  <c:v>85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1F7-4412-B887-44F61B9F5490}"/>
            </c:ext>
          </c:extLst>
        </c:ser>
        <c:ser>
          <c:idx val="3"/>
          <c:order val="5"/>
          <c:tx>
            <c:v>Center</c:v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xVal>
            <c:numRef>
              <c:f>Panels!$F$81:$F$82</c:f>
              <c:numCache>
                <c:formatCode>0.0</c:formatCode>
                <c:ptCount val="2"/>
                <c:pt idx="0">
                  <c:v>42.5</c:v>
                </c:pt>
                <c:pt idx="1">
                  <c:v>42.5</c:v>
                </c:pt>
              </c:numCache>
            </c:numRef>
          </c:xVal>
          <c:yVal>
            <c:numRef>
              <c:f>Panels!$G$81:$G$82</c:f>
              <c:numCache>
                <c:formatCode>0.0</c:formatCode>
                <c:ptCount val="2"/>
                <c:pt idx="0">
                  <c:v>10.100000000000001</c:v>
                </c:pt>
                <c:pt idx="1">
                  <c:v>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1F7-4412-B887-44F61B9F54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9902424"/>
        <c:axId val="1"/>
      </c:scatterChart>
      <c:valAx>
        <c:axId val="319902424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029"/>
                  <a:t>Width</a:t>
                </a:r>
              </a:p>
            </c:rich>
          </c:tx>
          <c:layout>
            <c:manualLayout>
              <c:xMode val="edge"/>
              <c:yMode val="edge"/>
              <c:x val="0.51388980023330422"/>
              <c:y val="0.9353680430879712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029"/>
                  <a:t>Depth</a:t>
                </a:r>
              </a:p>
            </c:rich>
          </c:tx>
          <c:layout>
            <c:manualLayout>
              <c:xMode val="edge"/>
              <c:yMode val="edge"/>
              <c:x val="2.7777777777777776E-2"/>
              <c:y val="0.4236983842010771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9902424"/>
        <c:crosses val="autoZero"/>
        <c:crossBetween val="midCat"/>
      </c:valAx>
      <c:spPr>
        <a:noFill/>
        <a:ln w="12700">
          <a:solidFill>
            <a:srgbClr val="000000"/>
          </a:solidFill>
          <a:prstDash val="sysDash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4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84741354609773"/>
          <c:y val="2.6929982046678635E-2"/>
          <c:w val="0.86111257105945338"/>
          <c:h val="0.85996409335727109"/>
        </c:manualLayout>
      </c:layout>
      <c:scatterChart>
        <c:scatterStyle val="lineMarker"/>
        <c:varyColors val="0"/>
        <c:ser>
          <c:idx val="1"/>
          <c:order val="0"/>
          <c:tx>
            <c:v>Outline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Panels!$F$9:$F$80</c:f>
              <c:numCache>
                <c:formatCode>0.0</c:formatCode>
                <c:ptCount val="72"/>
                <c:pt idx="0">
                  <c:v>83.2</c:v>
                </c:pt>
                <c:pt idx="1">
                  <c:v>83.2</c:v>
                </c:pt>
                <c:pt idx="2">
                  <c:v>85</c:v>
                </c:pt>
                <c:pt idx="3">
                  <c:v>85</c:v>
                </c:pt>
                <c:pt idx="4">
                  <c:v>83.2</c:v>
                </c:pt>
                <c:pt idx="6">
                  <c:v>0</c:v>
                </c:pt>
                <c:pt idx="7">
                  <c:v>0</c:v>
                </c:pt>
                <c:pt idx="8">
                  <c:v>1.8</c:v>
                </c:pt>
                <c:pt idx="9">
                  <c:v>1.8</c:v>
                </c:pt>
                <c:pt idx="10">
                  <c:v>0</c:v>
                </c:pt>
                <c:pt idx="12">
                  <c:v>43.4</c:v>
                </c:pt>
                <c:pt idx="13">
                  <c:v>43.4</c:v>
                </c:pt>
                <c:pt idx="14">
                  <c:v>41.6</c:v>
                </c:pt>
                <c:pt idx="15">
                  <c:v>41.6</c:v>
                </c:pt>
                <c:pt idx="16">
                  <c:v>43.4</c:v>
                </c:pt>
                <c:pt idx="18">
                  <c:v>85</c:v>
                </c:pt>
                <c:pt idx="19">
                  <c:v>0</c:v>
                </c:pt>
                <c:pt idx="20">
                  <c:v>0</c:v>
                </c:pt>
                <c:pt idx="21">
                  <c:v>85</c:v>
                </c:pt>
                <c:pt idx="22">
                  <c:v>85</c:v>
                </c:pt>
                <c:pt idx="24">
                  <c:v>0</c:v>
                </c:pt>
                <c:pt idx="25">
                  <c:v>85</c:v>
                </c:pt>
                <c:pt idx="26">
                  <c:v>85</c:v>
                </c:pt>
                <c:pt idx="27">
                  <c:v>0</c:v>
                </c:pt>
                <c:pt idx="28">
                  <c:v>0</c:v>
                </c:pt>
                <c:pt idx="30">
                  <c:v>85</c:v>
                </c:pt>
                <c:pt idx="31">
                  <c:v>66.599999999999994</c:v>
                </c:pt>
                <c:pt idx="32">
                  <c:v>66.599999999999994</c:v>
                </c:pt>
                <c:pt idx="33">
                  <c:v>85</c:v>
                </c:pt>
                <c:pt idx="34">
                  <c:v>85</c:v>
                </c:pt>
                <c:pt idx="36">
                  <c:v>0</c:v>
                </c:pt>
                <c:pt idx="37">
                  <c:v>18.399999999999999</c:v>
                </c:pt>
                <c:pt idx="38">
                  <c:v>18.399999999999999</c:v>
                </c:pt>
                <c:pt idx="39">
                  <c:v>0</c:v>
                </c:pt>
                <c:pt idx="40">
                  <c:v>0</c:v>
                </c:pt>
                <c:pt idx="42">
                  <c:v>76.699999999999989</c:v>
                </c:pt>
                <c:pt idx="43">
                  <c:v>76.699999999999989</c:v>
                </c:pt>
                <c:pt idx="44">
                  <c:v>8.2999999999999972</c:v>
                </c:pt>
                <c:pt idx="45">
                  <c:v>8.2999999999999972</c:v>
                </c:pt>
                <c:pt idx="46">
                  <c:v>76.699999999999989</c:v>
                </c:pt>
                <c:pt idx="48">
                  <c:v>8.2999999999999972</c:v>
                </c:pt>
                <c:pt idx="49">
                  <c:v>8.2999999999999972</c:v>
                </c:pt>
                <c:pt idx="50">
                  <c:v>10.099999999999998</c:v>
                </c:pt>
                <c:pt idx="51">
                  <c:v>10.099999999999998</c:v>
                </c:pt>
                <c:pt idx="52">
                  <c:v>8.2999999999999972</c:v>
                </c:pt>
                <c:pt idx="54">
                  <c:v>74.899999999999991</c:v>
                </c:pt>
                <c:pt idx="55">
                  <c:v>74.899999999999991</c:v>
                </c:pt>
                <c:pt idx="56">
                  <c:v>76.699999999999989</c:v>
                </c:pt>
                <c:pt idx="57">
                  <c:v>76.699999999999989</c:v>
                </c:pt>
                <c:pt idx="58">
                  <c:v>74.899999999999991</c:v>
                </c:pt>
                <c:pt idx="60">
                  <c:v>66.599999999999994</c:v>
                </c:pt>
                <c:pt idx="61">
                  <c:v>66.599999999999994</c:v>
                </c:pt>
                <c:pt idx="62">
                  <c:v>68.399999999999991</c:v>
                </c:pt>
                <c:pt idx="63">
                  <c:v>68.399999999999991</c:v>
                </c:pt>
                <c:pt idx="64">
                  <c:v>66.599999999999994</c:v>
                </c:pt>
                <c:pt idx="66">
                  <c:v>16.599999999999998</c:v>
                </c:pt>
                <c:pt idx="67">
                  <c:v>16.599999999999998</c:v>
                </c:pt>
                <c:pt idx="68">
                  <c:v>18.399999999999999</c:v>
                </c:pt>
                <c:pt idx="69">
                  <c:v>18.399999999999999</c:v>
                </c:pt>
                <c:pt idx="70">
                  <c:v>16.599999999999998</c:v>
                </c:pt>
              </c:numCache>
            </c:numRef>
          </c:xVal>
          <c:yVal>
            <c:numRef>
              <c:f>Panels!$G$9:$G$80</c:f>
              <c:numCache>
                <c:formatCode>0.0</c:formatCode>
                <c:ptCount val="72"/>
                <c:pt idx="0">
                  <c:v>83.2</c:v>
                </c:pt>
                <c:pt idx="1">
                  <c:v>1.8</c:v>
                </c:pt>
                <c:pt idx="2">
                  <c:v>1.8</c:v>
                </c:pt>
                <c:pt idx="3">
                  <c:v>83.2</c:v>
                </c:pt>
                <c:pt idx="4">
                  <c:v>83.2</c:v>
                </c:pt>
                <c:pt idx="6">
                  <c:v>83.2</c:v>
                </c:pt>
                <c:pt idx="7">
                  <c:v>1.8</c:v>
                </c:pt>
                <c:pt idx="8">
                  <c:v>1.8</c:v>
                </c:pt>
                <c:pt idx="9">
                  <c:v>83.2</c:v>
                </c:pt>
                <c:pt idx="10">
                  <c:v>83.2</c:v>
                </c:pt>
                <c:pt idx="12">
                  <c:v>1.8</c:v>
                </c:pt>
                <c:pt idx="13">
                  <c:v>8.3000000000000007</c:v>
                </c:pt>
                <c:pt idx="14">
                  <c:v>8.3000000000000007</c:v>
                </c:pt>
                <c:pt idx="15">
                  <c:v>1.8</c:v>
                </c:pt>
                <c:pt idx="16">
                  <c:v>1.8</c:v>
                </c:pt>
                <c:pt idx="18">
                  <c:v>85</c:v>
                </c:pt>
                <c:pt idx="19">
                  <c:v>85</c:v>
                </c:pt>
                <c:pt idx="20">
                  <c:v>0</c:v>
                </c:pt>
                <c:pt idx="21">
                  <c:v>0</c:v>
                </c:pt>
                <c:pt idx="22">
                  <c:v>85</c:v>
                </c:pt>
                <c:pt idx="24">
                  <c:v>0</c:v>
                </c:pt>
                <c:pt idx="25">
                  <c:v>0</c:v>
                </c:pt>
                <c:pt idx="26">
                  <c:v>1.8</c:v>
                </c:pt>
                <c:pt idx="27">
                  <c:v>1.8</c:v>
                </c:pt>
                <c:pt idx="28">
                  <c:v>0</c:v>
                </c:pt>
                <c:pt idx="30">
                  <c:v>85</c:v>
                </c:pt>
                <c:pt idx="31">
                  <c:v>85</c:v>
                </c:pt>
                <c:pt idx="32">
                  <c:v>83.2</c:v>
                </c:pt>
                <c:pt idx="33">
                  <c:v>83.2</c:v>
                </c:pt>
                <c:pt idx="34">
                  <c:v>85</c:v>
                </c:pt>
                <c:pt idx="36">
                  <c:v>85</c:v>
                </c:pt>
                <c:pt idx="37">
                  <c:v>85</c:v>
                </c:pt>
                <c:pt idx="38">
                  <c:v>83.2</c:v>
                </c:pt>
                <c:pt idx="39">
                  <c:v>83.2</c:v>
                </c:pt>
                <c:pt idx="40">
                  <c:v>85</c:v>
                </c:pt>
                <c:pt idx="42">
                  <c:v>8.3000000000000007</c:v>
                </c:pt>
                <c:pt idx="43">
                  <c:v>10.100000000000001</c:v>
                </c:pt>
                <c:pt idx="44">
                  <c:v>10.100000000000001</c:v>
                </c:pt>
                <c:pt idx="45">
                  <c:v>8.3000000000000007</c:v>
                </c:pt>
                <c:pt idx="46">
                  <c:v>8.3000000000000007</c:v>
                </c:pt>
                <c:pt idx="48">
                  <c:v>10.100000000000001</c:v>
                </c:pt>
                <c:pt idx="49">
                  <c:v>76.700000000000017</c:v>
                </c:pt>
                <c:pt idx="50">
                  <c:v>76.700000000000017</c:v>
                </c:pt>
                <c:pt idx="51">
                  <c:v>10.100000000000001</c:v>
                </c:pt>
                <c:pt idx="52">
                  <c:v>10.100000000000001</c:v>
                </c:pt>
                <c:pt idx="54">
                  <c:v>10.100000000000001</c:v>
                </c:pt>
                <c:pt idx="55">
                  <c:v>76.700000000000017</c:v>
                </c:pt>
                <c:pt idx="56">
                  <c:v>76.700000000000017</c:v>
                </c:pt>
                <c:pt idx="57">
                  <c:v>10.100000000000001</c:v>
                </c:pt>
                <c:pt idx="58">
                  <c:v>10.100000000000001</c:v>
                </c:pt>
                <c:pt idx="60">
                  <c:v>83.2</c:v>
                </c:pt>
                <c:pt idx="61">
                  <c:v>23.503213828860829</c:v>
                </c:pt>
                <c:pt idx="62">
                  <c:v>23.503213828860829</c:v>
                </c:pt>
                <c:pt idx="63">
                  <c:v>83.2</c:v>
                </c:pt>
                <c:pt idx="64">
                  <c:v>83.2</c:v>
                </c:pt>
                <c:pt idx="66">
                  <c:v>83.2</c:v>
                </c:pt>
                <c:pt idx="67">
                  <c:v>23.503213828860829</c:v>
                </c:pt>
                <c:pt idx="68">
                  <c:v>23.503213828860829</c:v>
                </c:pt>
                <c:pt idx="69">
                  <c:v>83.2</c:v>
                </c:pt>
                <c:pt idx="70">
                  <c:v>83.2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898-4098-844B-BC7C53BD6992}"/>
            </c:ext>
          </c:extLst>
        </c:ser>
        <c:ser>
          <c:idx val="5"/>
          <c:order val="1"/>
          <c:tx>
            <c:v>Option 7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Path!$F$19:$F$93</c:f>
              <c:numCache>
                <c:formatCode>0.0</c:formatCode>
                <c:ptCount val="75"/>
                <c:pt idx="0">
                  <c:v>43.4</c:v>
                </c:pt>
                <c:pt idx="1">
                  <c:v>43.4</c:v>
                </c:pt>
                <c:pt idx="3">
                  <c:v>76.699999999999989</c:v>
                </c:pt>
                <c:pt idx="4">
                  <c:v>76.699999999999989</c:v>
                </c:pt>
                <c:pt idx="6">
                  <c:v>76.699999999999989</c:v>
                </c:pt>
                <c:pt idx="7">
                  <c:v>79.949999999999989</c:v>
                </c:pt>
                <c:pt idx="9">
                  <c:v>76.699999999999989</c:v>
                </c:pt>
                <c:pt idx="10">
                  <c:v>83.2</c:v>
                </c:pt>
                <c:pt idx="12">
                  <c:v>76.699999999999989</c:v>
                </c:pt>
                <c:pt idx="13">
                  <c:v>83.2</c:v>
                </c:pt>
                <c:pt idx="15">
                  <c:v>83.2</c:v>
                </c:pt>
                <c:pt idx="16">
                  <c:v>76.699999999999989</c:v>
                </c:pt>
                <c:pt idx="18">
                  <c:v>83.2</c:v>
                </c:pt>
                <c:pt idx="19">
                  <c:v>76.699999999999989</c:v>
                </c:pt>
                <c:pt idx="21">
                  <c:v>79.949999999999989</c:v>
                </c:pt>
                <c:pt idx="22">
                  <c:v>76.699999999999989</c:v>
                </c:pt>
                <c:pt idx="24">
                  <c:v>76.699999999999989</c:v>
                </c:pt>
                <c:pt idx="25">
                  <c:v>76.699999999999989</c:v>
                </c:pt>
                <c:pt idx="27">
                  <c:v>75.799999999999983</c:v>
                </c:pt>
                <c:pt idx="28">
                  <c:v>75.799999999999983</c:v>
                </c:pt>
                <c:pt idx="30">
                  <c:v>74.899999999999991</c:v>
                </c:pt>
                <c:pt idx="31">
                  <c:v>74.899999999999991</c:v>
                </c:pt>
                <c:pt idx="33">
                  <c:v>74.899999999999991</c:v>
                </c:pt>
                <c:pt idx="34">
                  <c:v>71.649999999999991</c:v>
                </c:pt>
                <c:pt idx="36">
                  <c:v>74.899999999999991</c:v>
                </c:pt>
                <c:pt idx="37">
                  <c:v>68.399999999999991</c:v>
                </c:pt>
                <c:pt idx="39">
                  <c:v>74.899999999999991</c:v>
                </c:pt>
                <c:pt idx="40">
                  <c:v>68.399999999999991</c:v>
                </c:pt>
                <c:pt idx="42">
                  <c:v>68.399999999999991</c:v>
                </c:pt>
                <c:pt idx="43">
                  <c:v>74.899999999999991</c:v>
                </c:pt>
                <c:pt idx="45">
                  <c:v>68.399999999999991</c:v>
                </c:pt>
                <c:pt idx="46">
                  <c:v>74.899999999999991</c:v>
                </c:pt>
                <c:pt idx="48">
                  <c:v>68.399999999999991</c:v>
                </c:pt>
                <c:pt idx="49">
                  <c:v>74.899999999999991</c:v>
                </c:pt>
                <c:pt idx="51">
                  <c:v>68.399999999999991</c:v>
                </c:pt>
                <c:pt idx="52">
                  <c:v>71.649999999999991</c:v>
                </c:pt>
                <c:pt idx="54">
                  <c:v>68.399999999999991</c:v>
                </c:pt>
                <c:pt idx="55">
                  <c:v>68.399999999999991</c:v>
                </c:pt>
                <c:pt idx="57">
                  <c:v>66.599999999999994</c:v>
                </c:pt>
                <c:pt idx="58">
                  <c:v>66.599999999999994</c:v>
                </c:pt>
                <c:pt idx="60">
                  <c:v>54.55</c:v>
                </c:pt>
                <c:pt idx="61">
                  <c:v>66.599999999999994</c:v>
                </c:pt>
                <c:pt idx="63">
                  <c:v>42.5</c:v>
                </c:pt>
                <c:pt idx="64">
                  <c:v>66.599999999999994</c:v>
                </c:pt>
                <c:pt idx="66">
                  <c:v>42.5</c:v>
                </c:pt>
                <c:pt idx="67">
                  <c:v>66.599999999999994</c:v>
                </c:pt>
                <c:pt idx="69">
                  <c:v>42.5</c:v>
                </c:pt>
                <c:pt idx="70">
                  <c:v>66.599999999999994</c:v>
                </c:pt>
                <c:pt idx="72">
                  <c:v>42.5</c:v>
                </c:pt>
                <c:pt idx="73">
                  <c:v>66.599999999999994</c:v>
                </c:pt>
              </c:numCache>
            </c:numRef>
          </c:xVal>
          <c:yVal>
            <c:numRef>
              <c:f>Path!$G$19:$G$93</c:f>
              <c:numCache>
                <c:formatCode>0.0</c:formatCode>
                <c:ptCount val="75"/>
                <c:pt idx="0">
                  <c:v>8.3000000000000007</c:v>
                </c:pt>
                <c:pt idx="1">
                  <c:v>1.8</c:v>
                </c:pt>
                <c:pt idx="3">
                  <c:v>8.3000000000000007</c:v>
                </c:pt>
                <c:pt idx="4">
                  <c:v>1.8</c:v>
                </c:pt>
                <c:pt idx="6">
                  <c:v>8.3000000000000007</c:v>
                </c:pt>
                <c:pt idx="7">
                  <c:v>1.8</c:v>
                </c:pt>
                <c:pt idx="9">
                  <c:v>8.3000000000000007</c:v>
                </c:pt>
                <c:pt idx="10">
                  <c:v>5.0500000000000007</c:v>
                </c:pt>
                <c:pt idx="12">
                  <c:v>8.3000000000000007</c:v>
                </c:pt>
                <c:pt idx="13">
                  <c:v>8.3000000000000007</c:v>
                </c:pt>
                <c:pt idx="15">
                  <c:v>76.700000000000017</c:v>
                </c:pt>
                <c:pt idx="16">
                  <c:v>76.700000000000017</c:v>
                </c:pt>
                <c:pt idx="18">
                  <c:v>79.950000000000017</c:v>
                </c:pt>
                <c:pt idx="19">
                  <c:v>76.700000000000017</c:v>
                </c:pt>
                <c:pt idx="21">
                  <c:v>83.2</c:v>
                </c:pt>
                <c:pt idx="22">
                  <c:v>76.700000000000017</c:v>
                </c:pt>
                <c:pt idx="24">
                  <c:v>83.2</c:v>
                </c:pt>
                <c:pt idx="25">
                  <c:v>76.700000000000017</c:v>
                </c:pt>
                <c:pt idx="27">
                  <c:v>76.700000000000017</c:v>
                </c:pt>
                <c:pt idx="28">
                  <c:v>83.2</c:v>
                </c:pt>
                <c:pt idx="30">
                  <c:v>76.700000000000017</c:v>
                </c:pt>
                <c:pt idx="31">
                  <c:v>83.2</c:v>
                </c:pt>
                <c:pt idx="33">
                  <c:v>76.700000000000017</c:v>
                </c:pt>
                <c:pt idx="34">
                  <c:v>83.2</c:v>
                </c:pt>
                <c:pt idx="36">
                  <c:v>76.700000000000017</c:v>
                </c:pt>
                <c:pt idx="37">
                  <c:v>79.950000000000017</c:v>
                </c:pt>
                <c:pt idx="39">
                  <c:v>76.700000000000017</c:v>
                </c:pt>
                <c:pt idx="40">
                  <c:v>76.700000000000017</c:v>
                </c:pt>
                <c:pt idx="42">
                  <c:v>50.10160691443042</c:v>
                </c:pt>
                <c:pt idx="43">
                  <c:v>50.10160691443042</c:v>
                </c:pt>
                <c:pt idx="45">
                  <c:v>23.503213828860829</c:v>
                </c:pt>
                <c:pt idx="46">
                  <c:v>23.503213828860829</c:v>
                </c:pt>
                <c:pt idx="48">
                  <c:v>23.503213828860829</c:v>
                </c:pt>
                <c:pt idx="49">
                  <c:v>16.801606914430415</c:v>
                </c:pt>
                <c:pt idx="51">
                  <c:v>23.503213828860829</c:v>
                </c:pt>
                <c:pt idx="52">
                  <c:v>10.100000000000001</c:v>
                </c:pt>
                <c:pt idx="54">
                  <c:v>23.503213828860829</c:v>
                </c:pt>
                <c:pt idx="55">
                  <c:v>10.100000000000001</c:v>
                </c:pt>
                <c:pt idx="57">
                  <c:v>23.503213828860829</c:v>
                </c:pt>
                <c:pt idx="58">
                  <c:v>10.100000000000001</c:v>
                </c:pt>
                <c:pt idx="60">
                  <c:v>10.100000000000001</c:v>
                </c:pt>
                <c:pt idx="61">
                  <c:v>23.503213828860829</c:v>
                </c:pt>
                <c:pt idx="63">
                  <c:v>16.801606914430415</c:v>
                </c:pt>
                <c:pt idx="64">
                  <c:v>23.503213828860829</c:v>
                </c:pt>
                <c:pt idx="66">
                  <c:v>23.503213828860829</c:v>
                </c:pt>
                <c:pt idx="67">
                  <c:v>23.503213828860829</c:v>
                </c:pt>
                <c:pt idx="69">
                  <c:v>54.251606914430411</c:v>
                </c:pt>
                <c:pt idx="70">
                  <c:v>54.251606914430411</c:v>
                </c:pt>
                <c:pt idx="72">
                  <c:v>85</c:v>
                </c:pt>
                <c:pt idx="73">
                  <c:v>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898-4098-844B-BC7C53BD6992}"/>
            </c:ext>
          </c:extLst>
        </c:ser>
        <c:ser>
          <c:idx val="6"/>
          <c:order val="2"/>
          <c:tx>
            <c:v>Driver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Panels!$F$98:$F$113</c:f>
              <c:numCache>
                <c:formatCode>0.0</c:formatCode>
                <c:ptCount val="16"/>
                <c:pt idx="0">
                  <c:v>65.849999999999994</c:v>
                </c:pt>
                <c:pt idx="1">
                  <c:v>42.499999999999993</c:v>
                </c:pt>
                <c:pt idx="2">
                  <c:v>42.499999999999993</c:v>
                </c:pt>
                <c:pt idx="3">
                  <c:v>54.499999999999993</c:v>
                </c:pt>
                <c:pt idx="4">
                  <c:v>54.499999999999993</c:v>
                </c:pt>
                <c:pt idx="5">
                  <c:v>63.599999999999994</c:v>
                </c:pt>
                <c:pt idx="7">
                  <c:v>19.149999999999991</c:v>
                </c:pt>
                <c:pt idx="8">
                  <c:v>42.499999999999993</c:v>
                </c:pt>
                <c:pt idx="9">
                  <c:v>42.499999999999993</c:v>
                </c:pt>
                <c:pt idx="10">
                  <c:v>30.499999999999993</c:v>
                </c:pt>
                <c:pt idx="11">
                  <c:v>30.499999999999993</c:v>
                </c:pt>
                <c:pt idx="12">
                  <c:v>21.399999999999991</c:v>
                </c:pt>
                <c:pt idx="14">
                  <c:v>30.499999999999993</c:v>
                </c:pt>
                <c:pt idx="15">
                  <c:v>54.499999999999993</c:v>
                </c:pt>
              </c:numCache>
            </c:numRef>
          </c:xVal>
          <c:yVal>
            <c:numRef>
              <c:f>Panels!$G$98:$G$113</c:f>
              <c:numCache>
                <c:formatCode>0.0</c:formatCode>
                <c:ptCount val="16"/>
                <c:pt idx="0">
                  <c:v>10.100000000000001</c:v>
                </c:pt>
                <c:pt idx="1">
                  <c:v>10.100000000000001</c:v>
                </c:pt>
                <c:pt idx="2">
                  <c:v>31</c:v>
                </c:pt>
                <c:pt idx="3">
                  <c:v>31</c:v>
                </c:pt>
                <c:pt idx="4">
                  <c:v>25</c:v>
                </c:pt>
                <c:pt idx="5">
                  <c:v>10.100000000000001</c:v>
                </c:pt>
                <c:pt idx="7">
                  <c:v>10.100000000000001</c:v>
                </c:pt>
                <c:pt idx="8">
                  <c:v>10.100000000000001</c:v>
                </c:pt>
                <c:pt idx="9">
                  <c:v>31</c:v>
                </c:pt>
                <c:pt idx="10">
                  <c:v>31</c:v>
                </c:pt>
                <c:pt idx="11">
                  <c:v>25</c:v>
                </c:pt>
                <c:pt idx="12">
                  <c:v>10.100000000000001</c:v>
                </c:pt>
                <c:pt idx="14">
                  <c:v>25</c:v>
                </c:pt>
                <c:pt idx="15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898-4098-844B-BC7C53BD6992}"/>
            </c:ext>
          </c:extLst>
        </c:ser>
        <c:ser>
          <c:idx val="2"/>
          <c:order val="3"/>
          <c:tx>
            <c:v>Adv Centerline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Path!$J$19:$J$93</c:f>
              <c:numCache>
                <c:formatCode>0.0</c:formatCode>
                <c:ptCount val="75"/>
                <c:pt idx="0">
                  <c:v>43.4</c:v>
                </c:pt>
                <c:pt idx="1">
                  <c:v>43.4</c:v>
                </c:pt>
                <c:pt idx="2">
                  <c:v>43.4</c:v>
                </c:pt>
                <c:pt idx="3">
                  <c:v>76.699999999999989</c:v>
                </c:pt>
                <c:pt idx="4">
                  <c:v>76.699999999999989</c:v>
                </c:pt>
                <c:pt idx="5">
                  <c:v>76.699999999999989</c:v>
                </c:pt>
                <c:pt idx="6">
                  <c:v>78.324999999999989</c:v>
                </c:pt>
                <c:pt idx="7">
                  <c:v>78.324999999999989</c:v>
                </c:pt>
                <c:pt idx="8">
                  <c:v>78.324999999999989</c:v>
                </c:pt>
                <c:pt idx="9">
                  <c:v>79.949999999999989</c:v>
                </c:pt>
                <c:pt idx="10">
                  <c:v>79.949999999999989</c:v>
                </c:pt>
                <c:pt idx="11">
                  <c:v>79.949999999999989</c:v>
                </c:pt>
                <c:pt idx="12">
                  <c:v>79.949999999999989</c:v>
                </c:pt>
                <c:pt idx="13">
                  <c:v>79.949999999999989</c:v>
                </c:pt>
                <c:pt idx="14">
                  <c:v>79.949999999999989</c:v>
                </c:pt>
                <c:pt idx="15">
                  <c:v>79.949999999999989</c:v>
                </c:pt>
                <c:pt idx="16">
                  <c:v>79.949999999999989</c:v>
                </c:pt>
                <c:pt idx="17">
                  <c:v>79.949999999999989</c:v>
                </c:pt>
                <c:pt idx="18">
                  <c:v>79.949999999999989</c:v>
                </c:pt>
                <c:pt idx="19">
                  <c:v>79.949999999999989</c:v>
                </c:pt>
                <c:pt idx="20">
                  <c:v>79.949999999999989</c:v>
                </c:pt>
                <c:pt idx="21">
                  <c:v>78.324999999999989</c:v>
                </c:pt>
                <c:pt idx="22">
                  <c:v>78.324999999999989</c:v>
                </c:pt>
                <c:pt idx="23">
                  <c:v>78.324999999999989</c:v>
                </c:pt>
                <c:pt idx="24">
                  <c:v>76.699999999999989</c:v>
                </c:pt>
                <c:pt idx="25">
                  <c:v>76.699999999999989</c:v>
                </c:pt>
                <c:pt idx="26">
                  <c:v>76.699999999999989</c:v>
                </c:pt>
                <c:pt idx="27">
                  <c:v>75.799999999999983</c:v>
                </c:pt>
                <c:pt idx="28">
                  <c:v>75.799999999999983</c:v>
                </c:pt>
                <c:pt idx="29">
                  <c:v>75.799999999999983</c:v>
                </c:pt>
                <c:pt idx="30">
                  <c:v>74.899999999999991</c:v>
                </c:pt>
                <c:pt idx="31">
                  <c:v>74.899999999999991</c:v>
                </c:pt>
                <c:pt idx="32">
                  <c:v>74.899999999999991</c:v>
                </c:pt>
                <c:pt idx="33">
                  <c:v>73.274999999999991</c:v>
                </c:pt>
                <c:pt idx="34">
                  <c:v>73.274999999999991</c:v>
                </c:pt>
                <c:pt idx="35">
                  <c:v>73.274999999999991</c:v>
                </c:pt>
                <c:pt idx="36">
                  <c:v>71.649999999999991</c:v>
                </c:pt>
                <c:pt idx="37">
                  <c:v>71.649999999999991</c:v>
                </c:pt>
                <c:pt idx="38">
                  <c:v>71.649999999999991</c:v>
                </c:pt>
                <c:pt idx="39">
                  <c:v>71.649999999999991</c:v>
                </c:pt>
                <c:pt idx="40">
                  <c:v>71.649999999999991</c:v>
                </c:pt>
                <c:pt idx="41">
                  <c:v>71.649999999999991</c:v>
                </c:pt>
                <c:pt idx="42">
                  <c:v>71.649999999999991</c:v>
                </c:pt>
                <c:pt idx="43">
                  <c:v>71.649999999999991</c:v>
                </c:pt>
                <c:pt idx="44">
                  <c:v>71.649999999999991</c:v>
                </c:pt>
                <c:pt idx="45">
                  <c:v>71.649999999999991</c:v>
                </c:pt>
                <c:pt idx="46">
                  <c:v>71.649999999999991</c:v>
                </c:pt>
                <c:pt idx="47">
                  <c:v>71.649999999999991</c:v>
                </c:pt>
                <c:pt idx="48">
                  <c:v>71.649999999999991</c:v>
                </c:pt>
                <c:pt idx="49">
                  <c:v>71.649999999999991</c:v>
                </c:pt>
                <c:pt idx="50">
                  <c:v>71.649999999999991</c:v>
                </c:pt>
                <c:pt idx="51">
                  <c:v>70.024999999999991</c:v>
                </c:pt>
                <c:pt idx="52">
                  <c:v>70.024999999999991</c:v>
                </c:pt>
                <c:pt idx="53">
                  <c:v>70.024999999999991</c:v>
                </c:pt>
                <c:pt idx="54">
                  <c:v>68.399999999999991</c:v>
                </c:pt>
                <c:pt idx="55">
                  <c:v>68.399999999999991</c:v>
                </c:pt>
                <c:pt idx="56">
                  <c:v>68.399999999999991</c:v>
                </c:pt>
                <c:pt idx="57">
                  <c:v>66.599999999999994</c:v>
                </c:pt>
                <c:pt idx="58">
                  <c:v>66.599999999999994</c:v>
                </c:pt>
                <c:pt idx="59">
                  <c:v>66.599999999999994</c:v>
                </c:pt>
                <c:pt idx="60">
                  <c:v>60.574999999999996</c:v>
                </c:pt>
                <c:pt idx="61">
                  <c:v>60.574999999999996</c:v>
                </c:pt>
                <c:pt idx="62">
                  <c:v>60.574999999999996</c:v>
                </c:pt>
                <c:pt idx="63">
                  <c:v>54.55</c:v>
                </c:pt>
                <c:pt idx="64">
                  <c:v>54.55</c:v>
                </c:pt>
                <c:pt idx="65">
                  <c:v>54.55</c:v>
                </c:pt>
                <c:pt idx="66">
                  <c:v>54.55</c:v>
                </c:pt>
                <c:pt idx="67">
                  <c:v>54.55</c:v>
                </c:pt>
                <c:pt idx="68">
                  <c:v>54.55</c:v>
                </c:pt>
                <c:pt idx="69">
                  <c:v>54.55</c:v>
                </c:pt>
                <c:pt idx="70">
                  <c:v>54.55</c:v>
                </c:pt>
                <c:pt idx="71">
                  <c:v>54.55</c:v>
                </c:pt>
                <c:pt idx="72">
                  <c:v>54.55</c:v>
                </c:pt>
                <c:pt idx="73">
                  <c:v>54.55</c:v>
                </c:pt>
                <c:pt idx="74">
                  <c:v>54.55</c:v>
                </c:pt>
              </c:numCache>
            </c:numRef>
          </c:xVal>
          <c:yVal>
            <c:numRef>
              <c:f>Path!$K$19:$K$93</c:f>
              <c:numCache>
                <c:formatCode>0.0</c:formatCode>
                <c:ptCount val="75"/>
                <c:pt idx="0">
                  <c:v>5.0500000000000007</c:v>
                </c:pt>
                <c:pt idx="1">
                  <c:v>5.0500000000000007</c:v>
                </c:pt>
                <c:pt idx="2">
                  <c:v>5.0500000000000007</c:v>
                </c:pt>
                <c:pt idx="3">
                  <c:v>5.0500000000000007</c:v>
                </c:pt>
                <c:pt idx="4">
                  <c:v>5.0500000000000007</c:v>
                </c:pt>
                <c:pt idx="5">
                  <c:v>5.0500000000000007</c:v>
                </c:pt>
                <c:pt idx="6">
                  <c:v>5.0500000000000007</c:v>
                </c:pt>
                <c:pt idx="7">
                  <c:v>5.0500000000000007</c:v>
                </c:pt>
                <c:pt idx="8">
                  <c:v>5.0500000000000007</c:v>
                </c:pt>
                <c:pt idx="9">
                  <c:v>6.6750000000000007</c:v>
                </c:pt>
                <c:pt idx="10">
                  <c:v>6.6750000000000007</c:v>
                </c:pt>
                <c:pt idx="11">
                  <c:v>6.6750000000000007</c:v>
                </c:pt>
                <c:pt idx="12">
                  <c:v>8.3000000000000007</c:v>
                </c:pt>
                <c:pt idx="13">
                  <c:v>8.3000000000000007</c:v>
                </c:pt>
                <c:pt idx="14">
                  <c:v>8.3000000000000007</c:v>
                </c:pt>
                <c:pt idx="15">
                  <c:v>76.700000000000017</c:v>
                </c:pt>
                <c:pt idx="16">
                  <c:v>76.700000000000017</c:v>
                </c:pt>
                <c:pt idx="17">
                  <c:v>76.700000000000017</c:v>
                </c:pt>
                <c:pt idx="18">
                  <c:v>78.325000000000017</c:v>
                </c:pt>
                <c:pt idx="19">
                  <c:v>78.325000000000017</c:v>
                </c:pt>
                <c:pt idx="20">
                  <c:v>78.325000000000017</c:v>
                </c:pt>
                <c:pt idx="21">
                  <c:v>79.950000000000017</c:v>
                </c:pt>
                <c:pt idx="22">
                  <c:v>79.950000000000017</c:v>
                </c:pt>
                <c:pt idx="23">
                  <c:v>79.950000000000017</c:v>
                </c:pt>
                <c:pt idx="24">
                  <c:v>79.950000000000017</c:v>
                </c:pt>
                <c:pt idx="25">
                  <c:v>79.950000000000017</c:v>
                </c:pt>
                <c:pt idx="26">
                  <c:v>79.950000000000017</c:v>
                </c:pt>
                <c:pt idx="27">
                  <c:v>79.950000000000017</c:v>
                </c:pt>
                <c:pt idx="28">
                  <c:v>79.950000000000017</c:v>
                </c:pt>
                <c:pt idx="29">
                  <c:v>79.950000000000017</c:v>
                </c:pt>
                <c:pt idx="30">
                  <c:v>79.950000000000017</c:v>
                </c:pt>
                <c:pt idx="31">
                  <c:v>79.950000000000017</c:v>
                </c:pt>
                <c:pt idx="32">
                  <c:v>79.950000000000017</c:v>
                </c:pt>
                <c:pt idx="33">
                  <c:v>79.950000000000017</c:v>
                </c:pt>
                <c:pt idx="34">
                  <c:v>79.950000000000017</c:v>
                </c:pt>
                <c:pt idx="35">
                  <c:v>79.950000000000017</c:v>
                </c:pt>
                <c:pt idx="36">
                  <c:v>78.325000000000017</c:v>
                </c:pt>
                <c:pt idx="37">
                  <c:v>78.325000000000017</c:v>
                </c:pt>
                <c:pt idx="38">
                  <c:v>78.325000000000017</c:v>
                </c:pt>
                <c:pt idx="39">
                  <c:v>76.700000000000017</c:v>
                </c:pt>
                <c:pt idx="40">
                  <c:v>76.700000000000017</c:v>
                </c:pt>
                <c:pt idx="41">
                  <c:v>76.700000000000017</c:v>
                </c:pt>
                <c:pt idx="42">
                  <c:v>50.10160691443042</c:v>
                </c:pt>
                <c:pt idx="43">
                  <c:v>50.10160691443042</c:v>
                </c:pt>
                <c:pt idx="44">
                  <c:v>50.10160691443042</c:v>
                </c:pt>
                <c:pt idx="45">
                  <c:v>23.503213828860829</c:v>
                </c:pt>
                <c:pt idx="46">
                  <c:v>23.503213828860829</c:v>
                </c:pt>
                <c:pt idx="47">
                  <c:v>23.503213828860829</c:v>
                </c:pt>
                <c:pt idx="48">
                  <c:v>20.152410371645622</c:v>
                </c:pt>
                <c:pt idx="49">
                  <c:v>20.152410371645622</c:v>
                </c:pt>
                <c:pt idx="50">
                  <c:v>20.152410371645622</c:v>
                </c:pt>
                <c:pt idx="51">
                  <c:v>16.801606914430415</c:v>
                </c:pt>
                <c:pt idx="52">
                  <c:v>16.801606914430415</c:v>
                </c:pt>
                <c:pt idx="53">
                  <c:v>16.801606914430415</c:v>
                </c:pt>
                <c:pt idx="54">
                  <c:v>16.801606914430415</c:v>
                </c:pt>
                <c:pt idx="55">
                  <c:v>16.801606914430415</c:v>
                </c:pt>
                <c:pt idx="56">
                  <c:v>16.801606914430415</c:v>
                </c:pt>
                <c:pt idx="57">
                  <c:v>16.801606914430415</c:v>
                </c:pt>
                <c:pt idx="58">
                  <c:v>16.801606914430415</c:v>
                </c:pt>
                <c:pt idx="59">
                  <c:v>16.801606914430415</c:v>
                </c:pt>
                <c:pt idx="60">
                  <c:v>16.801606914430415</c:v>
                </c:pt>
                <c:pt idx="61">
                  <c:v>16.801606914430415</c:v>
                </c:pt>
                <c:pt idx="62">
                  <c:v>16.801606914430415</c:v>
                </c:pt>
                <c:pt idx="63">
                  <c:v>20.152410371645622</c:v>
                </c:pt>
                <c:pt idx="64">
                  <c:v>20.152410371645622</c:v>
                </c:pt>
                <c:pt idx="65">
                  <c:v>20.152410371645622</c:v>
                </c:pt>
                <c:pt idx="66">
                  <c:v>23.503213828860829</c:v>
                </c:pt>
                <c:pt idx="67">
                  <c:v>23.503213828860829</c:v>
                </c:pt>
                <c:pt idx="68">
                  <c:v>23.503213828860829</c:v>
                </c:pt>
                <c:pt idx="69">
                  <c:v>54.251606914430411</c:v>
                </c:pt>
                <c:pt idx="70">
                  <c:v>54.251606914430411</c:v>
                </c:pt>
                <c:pt idx="71">
                  <c:v>54.251606914430411</c:v>
                </c:pt>
                <c:pt idx="72">
                  <c:v>85</c:v>
                </c:pt>
                <c:pt idx="73">
                  <c:v>85</c:v>
                </c:pt>
                <c:pt idx="74">
                  <c:v>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898-4098-844B-BC7C53BD6992}"/>
            </c:ext>
          </c:extLst>
        </c:ser>
        <c:ser>
          <c:idx val="0"/>
          <c:order val="4"/>
          <c:tx>
            <c:v>Axes</c:v>
          </c:tx>
          <c:spPr>
            <a:ln w="0"/>
          </c:spPr>
          <c:marker>
            <c:symbol val="none"/>
          </c:marker>
          <c:xVal>
            <c:numRef>
              <c:f>Panels!$F$84:$F$88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85</c:v>
                </c:pt>
              </c:numCache>
            </c:numRef>
          </c:xVal>
          <c:yVal>
            <c:numRef>
              <c:f>Panels!$G$84:$G$88</c:f>
              <c:numCache>
                <c:formatCode>0.0</c:formatCode>
                <c:ptCount val="5"/>
                <c:pt idx="0">
                  <c:v>0</c:v>
                </c:pt>
                <c:pt idx="1">
                  <c:v>85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898-4098-844B-BC7C53BD6992}"/>
            </c:ext>
          </c:extLst>
        </c:ser>
        <c:ser>
          <c:idx val="3"/>
          <c:order val="5"/>
          <c:tx>
            <c:v>Center</c:v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xVal>
            <c:numRef>
              <c:f>Panels!$F$81:$F$82</c:f>
              <c:numCache>
                <c:formatCode>0.0</c:formatCode>
                <c:ptCount val="2"/>
                <c:pt idx="0">
                  <c:v>42.5</c:v>
                </c:pt>
                <c:pt idx="1">
                  <c:v>42.5</c:v>
                </c:pt>
              </c:numCache>
            </c:numRef>
          </c:xVal>
          <c:yVal>
            <c:numRef>
              <c:f>Panels!$G$81:$G$82</c:f>
              <c:numCache>
                <c:formatCode>0.0</c:formatCode>
                <c:ptCount val="2"/>
                <c:pt idx="0">
                  <c:v>10.100000000000001</c:v>
                </c:pt>
                <c:pt idx="1">
                  <c:v>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898-4098-844B-BC7C53BD69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9902424"/>
        <c:axId val="1"/>
      </c:scatterChart>
      <c:valAx>
        <c:axId val="319902424"/>
        <c:scaling>
          <c:orientation val="minMax"/>
          <c:min val="0"/>
        </c:scaling>
        <c:delete val="0"/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029"/>
                  <a:t>Width</a:t>
                </a:r>
              </a:p>
            </c:rich>
          </c:tx>
          <c:layout>
            <c:manualLayout>
              <c:xMode val="edge"/>
              <c:yMode val="edge"/>
              <c:x val="0.51388980023330422"/>
              <c:y val="0.9353680430879712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min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029"/>
                  <a:t>Depth</a:t>
                </a:r>
              </a:p>
            </c:rich>
          </c:tx>
          <c:layout>
            <c:manualLayout>
              <c:xMode val="edge"/>
              <c:yMode val="edge"/>
              <c:x val="2.7777777777777776E-2"/>
              <c:y val="0.4236983842010771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9902424"/>
        <c:crosses val="autoZero"/>
        <c:crossBetween val="midCat"/>
      </c:valAx>
      <c:spPr>
        <a:noFill/>
        <a:ln w="12700">
          <a:solidFill>
            <a:srgbClr val="000000"/>
          </a:solidFill>
          <a:prstDash val="sysDash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4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029"/>
              <a:t>Horn Expansion</a:t>
            </a:r>
          </a:p>
        </c:rich>
      </c:tx>
      <c:layout>
        <c:manualLayout>
          <c:xMode val="edge"/>
          <c:yMode val="edge"/>
          <c:x val="0.42361185787651756"/>
          <c:y val="3.36134453781512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20855409165122"/>
          <c:y val="0.11484625253373526"/>
          <c:w val="0.81944583375012503"/>
          <c:h val="0.75630458985630544"/>
        </c:manualLayout>
      </c:layout>
      <c:scatterChart>
        <c:scatterStyle val="lineMarker"/>
        <c:varyColors val="0"/>
        <c:ser>
          <c:idx val="0"/>
          <c:order val="0"/>
          <c:tx>
            <c:v>Area 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noFill/>
                <a:prstDash val="solid"/>
              </a:ln>
            </c:spPr>
          </c:marker>
          <c:xVal>
            <c:numRef>
              <c:f>Path!$N$21:$N$93</c:f>
              <c:numCache>
                <c:formatCode>0.0</c:formatCod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33.29999999999999</c:v>
                </c:pt>
                <c:pt idx="4">
                  <c:v>33.29999999999999</c:v>
                </c:pt>
                <c:pt idx="5">
                  <c:v>33.29999999999999</c:v>
                </c:pt>
                <c:pt idx="6">
                  <c:v>34.92499999999999</c:v>
                </c:pt>
                <c:pt idx="7">
                  <c:v>34.92499999999999</c:v>
                </c:pt>
                <c:pt idx="8">
                  <c:v>34.92499999999999</c:v>
                </c:pt>
                <c:pt idx="9">
                  <c:v>37.223097038856267</c:v>
                </c:pt>
                <c:pt idx="10">
                  <c:v>37.223097038856267</c:v>
                </c:pt>
                <c:pt idx="11">
                  <c:v>37.223097038856267</c:v>
                </c:pt>
                <c:pt idx="12">
                  <c:v>38.848097038856267</c:v>
                </c:pt>
                <c:pt idx="13">
                  <c:v>38.848097038856267</c:v>
                </c:pt>
                <c:pt idx="14">
                  <c:v>38.848097038856267</c:v>
                </c:pt>
                <c:pt idx="15">
                  <c:v>107.24809703885629</c:v>
                </c:pt>
                <c:pt idx="16">
                  <c:v>107.24809703885629</c:v>
                </c:pt>
                <c:pt idx="17">
                  <c:v>107.24809703885629</c:v>
                </c:pt>
                <c:pt idx="18">
                  <c:v>108.87309703885629</c:v>
                </c:pt>
                <c:pt idx="19">
                  <c:v>108.87309703885629</c:v>
                </c:pt>
                <c:pt idx="20">
                  <c:v>108.87309703885629</c:v>
                </c:pt>
                <c:pt idx="21">
                  <c:v>111.17119407771257</c:v>
                </c:pt>
                <c:pt idx="22">
                  <c:v>111.17119407771257</c:v>
                </c:pt>
                <c:pt idx="23">
                  <c:v>111.17119407771257</c:v>
                </c:pt>
                <c:pt idx="24">
                  <c:v>112.79619407771257</c:v>
                </c:pt>
                <c:pt idx="25">
                  <c:v>112.79619407771257</c:v>
                </c:pt>
                <c:pt idx="26">
                  <c:v>112.79619407771257</c:v>
                </c:pt>
                <c:pt idx="27">
                  <c:v>113.69619407771258</c:v>
                </c:pt>
                <c:pt idx="28">
                  <c:v>113.69619407771258</c:v>
                </c:pt>
                <c:pt idx="29">
                  <c:v>113.69619407771258</c:v>
                </c:pt>
                <c:pt idx="30">
                  <c:v>114.59619407771257</c:v>
                </c:pt>
                <c:pt idx="31">
                  <c:v>114.59619407771257</c:v>
                </c:pt>
                <c:pt idx="32">
                  <c:v>114.59619407771257</c:v>
                </c:pt>
                <c:pt idx="33">
                  <c:v>116.22119407771257</c:v>
                </c:pt>
                <c:pt idx="34">
                  <c:v>116.22119407771257</c:v>
                </c:pt>
                <c:pt idx="35">
                  <c:v>116.22119407771257</c:v>
                </c:pt>
                <c:pt idx="36">
                  <c:v>118.51929111656885</c:v>
                </c:pt>
                <c:pt idx="37">
                  <c:v>118.51929111656885</c:v>
                </c:pt>
                <c:pt idx="38">
                  <c:v>118.51929111656885</c:v>
                </c:pt>
                <c:pt idx="39">
                  <c:v>120.14429111656885</c:v>
                </c:pt>
                <c:pt idx="40">
                  <c:v>120.14429111656885</c:v>
                </c:pt>
                <c:pt idx="41">
                  <c:v>120.14429111656885</c:v>
                </c:pt>
                <c:pt idx="42">
                  <c:v>146.74268420213843</c:v>
                </c:pt>
                <c:pt idx="43">
                  <c:v>146.74268420213843</c:v>
                </c:pt>
                <c:pt idx="44">
                  <c:v>146.74268420213843</c:v>
                </c:pt>
                <c:pt idx="45">
                  <c:v>173.34107728770803</c:v>
                </c:pt>
                <c:pt idx="46">
                  <c:v>173.34107728770803</c:v>
                </c:pt>
                <c:pt idx="47">
                  <c:v>173.34107728770803</c:v>
                </c:pt>
                <c:pt idx="48">
                  <c:v>176.69188074492325</c:v>
                </c:pt>
                <c:pt idx="49">
                  <c:v>176.69188074492325</c:v>
                </c:pt>
                <c:pt idx="50">
                  <c:v>176.69188074492325</c:v>
                </c:pt>
                <c:pt idx="51">
                  <c:v>180.41592542898456</c:v>
                </c:pt>
                <c:pt idx="52">
                  <c:v>180.41592542898456</c:v>
                </c:pt>
                <c:pt idx="53">
                  <c:v>180.41592542898456</c:v>
                </c:pt>
                <c:pt idx="54">
                  <c:v>182.04092542898456</c:v>
                </c:pt>
                <c:pt idx="55">
                  <c:v>182.04092542898456</c:v>
                </c:pt>
                <c:pt idx="56">
                  <c:v>182.04092542898456</c:v>
                </c:pt>
                <c:pt idx="57">
                  <c:v>183.84092542898458</c:v>
                </c:pt>
                <c:pt idx="58">
                  <c:v>183.84092542898458</c:v>
                </c:pt>
                <c:pt idx="59">
                  <c:v>183.84092542898458</c:v>
                </c:pt>
                <c:pt idx="60">
                  <c:v>189.86592542898458</c:v>
                </c:pt>
                <c:pt idx="61">
                  <c:v>189.86592542898458</c:v>
                </c:pt>
                <c:pt idx="62">
                  <c:v>189.86592542898458</c:v>
                </c:pt>
                <c:pt idx="63">
                  <c:v>196.76001774116648</c:v>
                </c:pt>
                <c:pt idx="64">
                  <c:v>196.76001774116648</c:v>
                </c:pt>
                <c:pt idx="65">
                  <c:v>196.76001774116648</c:v>
                </c:pt>
                <c:pt idx="66">
                  <c:v>200.1108211983817</c:v>
                </c:pt>
                <c:pt idx="67">
                  <c:v>200.1108211983817</c:v>
                </c:pt>
                <c:pt idx="68">
                  <c:v>200.1108211983817</c:v>
                </c:pt>
                <c:pt idx="69">
                  <c:v>230.85921428395127</c:v>
                </c:pt>
                <c:pt idx="70">
                  <c:v>230.85921428395127</c:v>
                </c:pt>
                <c:pt idx="71">
                  <c:v>230.85921428395127</c:v>
                </c:pt>
                <c:pt idx="72">
                  <c:v>261.60760736952085</c:v>
                </c:pt>
              </c:numCache>
            </c:numRef>
          </c:xVal>
          <c:yVal>
            <c:numRef>
              <c:f>Path!$R$21:$R$93</c:f>
              <c:numCache>
                <c:formatCode>0</c:formatCode>
                <c:ptCount val="73"/>
                <c:pt idx="0">
                  <c:v>308.10000000000002</c:v>
                </c:pt>
                <c:pt idx="1">
                  <c:v>308.10000000000002</c:v>
                </c:pt>
                <c:pt idx="2">
                  <c:v>308.10000000000002</c:v>
                </c:pt>
                <c:pt idx="3">
                  <c:v>308.10000000000002</c:v>
                </c:pt>
                <c:pt idx="4">
                  <c:v>308.10000000000002</c:v>
                </c:pt>
                <c:pt idx="5">
                  <c:v>308.10000000000002</c:v>
                </c:pt>
                <c:pt idx="6">
                  <c:v>344.46627193384268</c:v>
                </c:pt>
                <c:pt idx="7">
                  <c:v>344.46627193384268</c:v>
                </c:pt>
                <c:pt idx="8">
                  <c:v>344.46627193384268</c:v>
                </c:pt>
                <c:pt idx="9">
                  <c:v>344.46627193384319</c:v>
                </c:pt>
                <c:pt idx="10">
                  <c:v>344.46627193384319</c:v>
                </c:pt>
                <c:pt idx="11">
                  <c:v>344.46627193384319</c:v>
                </c:pt>
                <c:pt idx="12">
                  <c:v>308.10000000000065</c:v>
                </c:pt>
                <c:pt idx="13">
                  <c:v>308.10000000000065</c:v>
                </c:pt>
                <c:pt idx="14">
                  <c:v>308.10000000000065</c:v>
                </c:pt>
                <c:pt idx="15">
                  <c:v>308.10000000000065</c:v>
                </c:pt>
                <c:pt idx="16">
                  <c:v>308.10000000000065</c:v>
                </c:pt>
                <c:pt idx="17">
                  <c:v>308.10000000000065</c:v>
                </c:pt>
                <c:pt idx="18">
                  <c:v>344.46627193384319</c:v>
                </c:pt>
                <c:pt idx="19">
                  <c:v>344.46627193384319</c:v>
                </c:pt>
                <c:pt idx="20">
                  <c:v>344.46627193384319</c:v>
                </c:pt>
                <c:pt idx="21">
                  <c:v>344.46627193384199</c:v>
                </c:pt>
                <c:pt idx="22">
                  <c:v>344.46627193384199</c:v>
                </c:pt>
                <c:pt idx="23">
                  <c:v>344.46627193384199</c:v>
                </c:pt>
                <c:pt idx="24">
                  <c:v>308.09999999999934</c:v>
                </c:pt>
                <c:pt idx="25">
                  <c:v>308.09999999999934</c:v>
                </c:pt>
                <c:pt idx="26">
                  <c:v>308.09999999999934</c:v>
                </c:pt>
                <c:pt idx="27">
                  <c:v>308.09999999999934</c:v>
                </c:pt>
                <c:pt idx="28">
                  <c:v>308.09999999999934</c:v>
                </c:pt>
                <c:pt idx="29">
                  <c:v>308.09999999999934</c:v>
                </c:pt>
                <c:pt idx="30">
                  <c:v>308.09999999999934</c:v>
                </c:pt>
                <c:pt idx="31">
                  <c:v>308.09999999999934</c:v>
                </c:pt>
                <c:pt idx="32">
                  <c:v>308.09999999999934</c:v>
                </c:pt>
                <c:pt idx="33">
                  <c:v>344.46627193384199</c:v>
                </c:pt>
                <c:pt idx="34">
                  <c:v>344.46627193384199</c:v>
                </c:pt>
                <c:pt idx="35">
                  <c:v>344.46627193384199</c:v>
                </c:pt>
                <c:pt idx="36">
                  <c:v>344.46627193384262</c:v>
                </c:pt>
                <c:pt idx="37">
                  <c:v>344.46627193384262</c:v>
                </c:pt>
                <c:pt idx="38">
                  <c:v>344.46627193384262</c:v>
                </c:pt>
                <c:pt idx="39">
                  <c:v>308.09999999999997</c:v>
                </c:pt>
                <c:pt idx="40">
                  <c:v>308.09999999999997</c:v>
                </c:pt>
                <c:pt idx="41">
                  <c:v>308.09999999999997</c:v>
                </c:pt>
                <c:pt idx="42">
                  <c:v>308.09999999999997</c:v>
                </c:pt>
                <c:pt idx="43">
                  <c:v>308.09999999999997</c:v>
                </c:pt>
                <c:pt idx="44">
                  <c:v>308.09999999999997</c:v>
                </c:pt>
                <c:pt idx="45">
                  <c:v>308.09999999999997</c:v>
                </c:pt>
                <c:pt idx="46">
                  <c:v>308.09999999999997</c:v>
                </c:pt>
                <c:pt idx="47">
                  <c:v>308.09999999999997</c:v>
                </c:pt>
                <c:pt idx="48">
                  <c:v>442.52802273506398</c:v>
                </c:pt>
                <c:pt idx="49">
                  <c:v>442.52802273506398</c:v>
                </c:pt>
                <c:pt idx="50">
                  <c:v>442.52802273506398</c:v>
                </c:pt>
                <c:pt idx="51">
                  <c:v>653.72254521564514</c:v>
                </c:pt>
                <c:pt idx="52">
                  <c:v>653.72254521564514</c:v>
                </c:pt>
                <c:pt idx="53">
                  <c:v>653.72254521564514</c:v>
                </c:pt>
                <c:pt idx="54">
                  <c:v>635.31233548800321</c:v>
                </c:pt>
                <c:pt idx="55">
                  <c:v>635.31233548800321</c:v>
                </c:pt>
                <c:pt idx="56">
                  <c:v>635.31233548800321</c:v>
                </c:pt>
                <c:pt idx="57">
                  <c:v>635.31233548800321</c:v>
                </c:pt>
                <c:pt idx="58">
                  <c:v>635.31233548800321</c:v>
                </c:pt>
                <c:pt idx="59">
                  <c:v>635.31233548800321</c:v>
                </c:pt>
                <c:pt idx="60">
                  <c:v>854.31664652119537</c:v>
                </c:pt>
                <c:pt idx="61">
                  <c:v>854.31664652119537</c:v>
                </c:pt>
                <c:pt idx="62">
                  <c:v>854.31664652119537</c:v>
                </c:pt>
                <c:pt idx="63">
                  <c:v>1185.6838181006792</c:v>
                </c:pt>
                <c:pt idx="64">
                  <c:v>1185.6838181006792</c:v>
                </c:pt>
                <c:pt idx="65">
                  <c:v>1185.6838181006792</c:v>
                </c:pt>
                <c:pt idx="66">
                  <c:v>1142.3399999999997</c:v>
                </c:pt>
                <c:pt idx="67">
                  <c:v>1142.3399999999997</c:v>
                </c:pt>
                <c:pt idx="68">
                  <c:v>1142.3399999999997</c:v>
                </c:pt>
                <c:pt idx="69">
                  <c:v>1142.3399999999997</c:v>
                </c:pt>
                <c:pt idx="70">
                  <c:v>1142.3399999999997</c:v>
                </c:pt>
                <c:pt idx="71">
                  <c:v>1142.3399999999997</c:v>
                </c:pt>
                <c:pt idx="72">
                  <c:v>1142.3399999999997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88C-4417-A279-BD7796C618E7}"/>
            </c:ext>
          </c:extLst>
        </c:ser>
        <c:ser>
          <c:idx val="1"/>
          <c:order val="1"/>
          <c:tx>
            <c:v>Area 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noFill/>
                <a:prstDash val="solid"/>
              </a:ln>
            </c:spPr>
          </c:marker>
          <c:xVal>
            <c:numRef>
              <c:f>Path!$N$21:$N$93</c:f>
              <c:numCache>
                <c:formatCode>0.0</c:formatCod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33.29999999999999</c:v>
                </c:pt>
                <c:pt idx="4">
                  <c:v>33.29999999999999</c:v>
                </c:pt>
                <c:pt idx="5">
                  <c:v>33.29999999999999</c:v>
                </c:pt>
                <c:pt idx="6">
                  <c:v>34.92499999999999</c:v>
                </c:pt>
                <c:pt idx="7">
                  <c:v>34.92499999999999</c:v>
                </c:pt>
                <c:pt idx="8">
                  <c:v>34.92499999999999</c:v>
                </c:pt>
                <c:pt idx="9">
                  <c:v>37.223097038856267</c:v>
                </c:pt>
                <c:pt idx="10">
                  <c:v>37.223097038856267</c:v>
                </c:pt>
                <c:pt idx="11">
                  <c:v>37.223097038856267</c:v>
                </c:pt>
                <c:pt idx="12">
                  <c:v>38.848097038856267</c:v>
                </c:pt>
                <c:pt idx="13">
                  <c:v>38.848097038856267</c:v>
                </c:pt>
                <c:pt idx="14">
                  <c:v>38.848097038856267</c:v>
                </c:pt>
                <c:pt idx="15">
                  <c:v>107.24809703885629</c:v>
                </c:pt>
                <c:pt idx="16">
                  <c:v>107.24809703885629</c:v>
                </c:pt>
                <c:pt idx="17">
                  <c:v>107.24809703885629</c:v>
                </c:pt>
                <c:pt idx="18">
                  <c:v>108.87309703885629</c:v>
                </c:pt>
                <c:pt idx="19">
                  <c:v>108.87309703885629</c:v>
                </c:pt>
                <c:pt idx="20">
                  <c:v>108.87309703885629</c:v>
                </c:pt>
                <c:pt idx="21">
                  <c:v>111.17119407771257</c:v>
                </c:pt>
                <c:pt idx="22">
                  <c:v>111.17119407771257</c:v>
                </c:pt>
                <c:pt idx="23">
                  <c:v>111.17119407771257</c:v>
                </c:pt>
                <c:pt idx="24">
                  <c:v>112.79619407771257</c:v>
                </c:pt>
                <c:pt idx="25">
                  <c:v>112.79619407771257</c:v>
                </c:pt>
                <c:pt idx="26">
                  <c:v>112.79619407771257</c:v>
                </c:pt>
                <c:pt idx="27">
                  <c:v>113.69619407771258</c:v>
                </c:pt>
                <c:pt idx="28">
                  <c:v>113.69619407771258</c:v>
                </c:pt>
                <c:pt idx="29">
                  <c:v>113.69619407771258</c:v>
                </c:pt>
                <c:pt idx="30">
                  <c:v>114.59619407771257</c:v>
                </c:pt>
                <c:pt idx="31">
                  <c:v>114.59619407771257</c:v>
                </c:pt>
                <c:pt idx="32">
                  <c:v>114.59619407771257</c:v>
                </c:pt>
                <c:pt idx="33">
                  <c:v>116.22119407771257</c:v>
                </c:pt>
                <c:pt idx="34">
                  <c:v>116.22119407771257</c:v>
                </c:pt>
                <c:pt idx="35">
                  <c:v>116.22119407771257</c:v>
                </c:pt>
                <c:pt idx="36">
                  <c:v>118.51929111656885</c:v>
                </c:pt>
                <c:pt idx="37">
                  <c:v>118.51929111656885</c:v>
                </c:pt>
                <c:pt idx="38">
                  <c:v>118.51929111656885</c:v>
                </c:pt>
                <c:pt idx="39">
                  <c:v>120.14429111656885</c:v>
                </c:pt>
                <c:pt idx="40">
                  <c:v>120.14429111656885</c:v>
                </c:pt>
                <c:pt idx="41">
                  <c:v>120.14429111656885</c:v>
                </c:pt>
                <c:pt idx="42">
                  <c:v>146.74268420213843</c:v>
                </c:pt>
                <c:pt idx="43">
                  <c:v>146.74268420213843</c:v>
                </c:pt>
                <c:pt idx="44">
                  <c:v>146.74268420213843</c:v>
                </c:pt>
                <c:pt idx="45">
                  <c:v>173.34107728770803</c:v>
                </c:pt>
                <c:pt idx="46">
                  <c:v>173.34107728770803</c:v>
                </c:pt>
                <c:pt idx="47">
                  <c:v>173.34107728770803</c:v>
                </c:pt>
                <c:pt idx="48">
                  <c:v>176.69188074492325</c:v>
                </c:pt>
                <c:pt idx="49">
                  <c:v>176.69188074492325</c:v>
                </c:pt>
                <c:pt idx="50">
                  <c:v>176.69188074492325</c:v>
                </c:pt>
                <c:pt idx="51">
                  <c:v>180.41592542898456</c:v>
                </c:pt>
                <c:pt idx="52">
                  <c:v>180.41592542898456</c:v>
                </c:pt>
                <c:pt idx="53">
                  <c:v>180.41592542898456</c:v>
                </c:pt>
                <c:pt idx="54">
                  <c:v>182.04092542898456</c:v>
                </c:pt>
                <c:pt idx="55">
                  <c:v>182.04092542898456</c:v>
                </c:pt>
                <c:pt idx="56">
                  <c:v>182.04092542898456</c:v>
                </c:pt>
                <c:pt idx="57">
                  <c:v>183.84092542898458</c:v>
                </c:pt>
                <c:pt idx="58">
                  <c:v>183.84092542898458</c:v>
                </c:pt>
                <c:pt idx="59">
                  <c:v>183.84092542898458</c:v>
                </c:pt>
                <c:pt idx="60">
                  <c:v>189.86592542898458</c:v>
                </c:pt>
                <c:pt idx="61">
                  <c:v>189.86592542898458</c:v>
                </c:pt>
                <c:pt idx="62">
                  <c:v>189.86592542898458</c:v>
                </c:pt>
                <c:pt idx="63">
                  <c:v>196.76001774116648</c:v>
                </c:pt>
                <c:pt idx="64">
                  <c:v>196.76001774116648</c:v>
                </c:pt>
                <c:pt idx="65">
                  <c:v>196.76001774116648</c:v>
                </c:pt>
                <c:pt idx="66">
                  <c:v>200.1108211983817</c:v>
                </c:pt>
                <c:pt idx="67">
                  <c:v>200.1108211983817</c:v>
                </c:pt>
                <c:pt idx="68">
                  <c:v>200.1108211983817</c:v>
                </c:pt>
                <c:pt idx="69">
                  <c:v>230.85921428395127</c:v>
                </c:pt>
                <c:pt idx="70">
                  <c:v>230.85921428395127</c:v>
                </c:pt>
                <c:pt idx="71">
                  <c:v>230.85921428395127</c:v>
                </c:pt>
                <c:pt idx="72">
                  <c:v>261.60760736952085</c:v>
                </c:pt>
              </c:numCache>
            </c:numRef>
          </c:xVal>
          <c:yVal>
            <c:numRef>
              <c:f>Path!$S$21:$S$93</c:f>
              <c:numCache>
                <c:formatCode>0</c:formatCode>
                <c:ptCount val="73"/>
                <c:pt idx="0">
                  <c:v>-308.10000000000002</c:v>
                </c:pt>
                <c:pt idx="1">
                  <c:v>-308.10000000000002</c:v>
                </c:pt>
                <c:pt idx="2">
                  <c:v>-308.10000000000002</c:v>
                </c:pt>
                <c:pt idx="3">
                  <c:v>-308.10000000000002</c:v>
                </c:pt>
                <c:pt idx="4">
                  <c:v>-308.10000000000002</c:v>
                </c:pt>
                <c:pt idx="5">
                  <c:v>-308.10000000000002</c:v>
                </c:pt>
                <c:pt idx="6">
                  <c:v>-344.46627193384268</c:v>
                </c:pt>
                <c:pt idx="7">
                  <c:v>-344.46627193384268</c:v>
                </c:pt>
                <c:pt idx="8">
                  <c:v>-344.46627193384268</c:v>
                </c:pt>
                <c:pt idx="9">
                  <c:v>-344.46627193384319</c:v>
                </c:pt>
                <c:pt idx="10">
                  <c:v>-344.46627193384319</c:v>
                </c:pt>
                <c:pt idx="11">
                  <c:v>-344.46627193384319</c:v>
                </c:pt>
                <c:pt idx="12">
                  <c:v>-308.10000000000065</c:v>
                </c:pt>
                <c:pt idx="13">
                  <c:v>-308.10000000000065</c:v>
                </c:pt>
                <c:pt idx="14">
                  <c:v>-308.10000000000065</c:v>
                </c:pt>
                <c:pt idx="15">
                  <c:v>-308.10000000000065</c:v>
                </c:pt>
                <c:pt idx="16">
                  <c:v>-308.10000000000065</c:v>
                </c:pt>
                <c:pt idx="17">
                  <c:v>-308.10000000000065</c:v>
                </c:pt>
                <c:pt idx="18">
                  <c:v>-344.46627193384319</c:v>
                </c:pt>
                <c:pt idx="19">
                  <c:v>-344.46627193384319</c:v>
                </c:pt>
                <c:pt idx="20">
                  <c:v>-344.46627193384319</c:v>
                </c:pt>
                <c:pt idx="21">
                  <c:v>-344.46627193384199</c:v>
                </c:pt>
                <c:pt idx="22">
                  <c:v>-344.46627193384199</c:v>
                </c:pt>
                <c:pt idx="23">
                  <c:v>-344.46627193384199</c:v>
                </c:pt>
                <c:pt idx="24">
                  <c:v>-308.09999999999934</c:v>
                </c:pt>
                <c:pt idx="25">
                  <c:v>-308.09999999999934</c:v>
                </c:pt>
                <c:pt idx="26">
                  <c:v>-308.09999999999934</c:v>
                </c:pt>
                <c:pt idx="27">
                  <c:v>-308.09999999999934</c:v>
                </c:pt>
                <c:pt idx="28">
                  <c:v>-308.09999999999934</c:v>
                </c:pt>
                <c:pt idx="29">
                  <c:v>-308.09999999999934</c:v>
                </c:pt>
                <c:pt idx="30">
                  <c:v>-308.09999999999934</c:v>
                </c:pt>
                <c:pt idx="31">
                  <c:v>-308.09999999999934</c:v>
                </c:pt>
                <c:pt idx="32">
                  <c:v>-308.09999999999934</c:v>
                </c:pt>
                <c:pt idx="33">
                  <c:v>-344.46627193384199</c:v>
                </c:pt>
                <c:pt idx="34">
                  <c:v>-344.46627193384199</c:v>
                </c:pt>
                <c:pt idx="35">
                  <c:v>-344.46627193384199</c:v>
                </c:pt>
                <c:pt idx="36">
                  <c:v>-344.46627193384262</c:v>
                </c:pt>
                <c:pt idx="37">
                  <c:v>-344.46627193384262</c:v>
                </c:pt>
                <c:pt idx="38">
                  <c:v>-344.46627193384262</c:v>
                </c:pt>
                <c:pt idx="39">
                  <c:v>-308.09999999999997</c:v>
                </c:pt>
                <c:pt idx="40">
                  <c:v>-308.09999999999997</c:v>
                </c:pt>
                <c:pt idx="41">
                  <c:v>-308.09999999999997</c:v>
                </c:pt>
                <c:pt idx="42">
                  <c:v>-308.09999999999997</c:v>
                </c:pt>
                <c:pt idx="43">
                  <c:v>-308.09999999999997</c:v>
                </c:pt>
                <c:pt idx="44">
                  <c:v>-308.09999999999997</c:v>
                </c:pt>
                <c:pt idx="45">
                  <c:v>-308.09999999999997</c:v>
                </c:pt>
                <c:pt idx="46">
                  <c:v>-308.09999999999997</c:v>
                </c:pt>
                <c:pt idx="47">
                  <c:v>-308.09999999999997</c:v>
                </c:pt>
                <c:pt idx="48">
                  <c:v>-442.52802273506398</c:v>
                </c:pt>
                <c:pt idx="49">
                  <c:v>-442.52802273506398</c:v>
                </c:pt>
                <c:pt idx="50">
                  <c:v>-442.52802273506398</c:v>
                </c:pt>
                <c:pt idx="51">
                  <c:v>-653.72254521564514</c:v>
                </c:pt>
                <c:pt idx="52">
                  <c:v>-653.72254521564514</c:v>
                </c:pt>
                <c:pt idx="53">
                  <c:v>-653.72254521564514</c:v>
                </c:pt>
                <c:pt idx="54">
                  <c:v>-635.31233548800321</c:v>
                </c:pt>
                <c:pt idx="55">
                  <c:v>-635.31233548800321</c:v>
                </c:pt>
                <c:pt idx="56">
                  <c:v>-635.31233548800321</c:v>
                </c:pt>
                <c:pt idx="57">
                  <c:v>-635.31233548800321</c:v>
                </c:pt>
                <c:pt idx="58">
                  <c:v>-635.31233548800321</c:v>
                </c:pt>
                <c:pt idx="59">
                  <c:v>-635.31233548800321</c:v>
                </c:pt>
                <c:pt idx="60">
                  <c:v>-854.31664652119537</c:v>
                </c:pt>
                <c:pt idx="61">
                  <c:v>-854.31664652119537</c:v>
                </c:pt>
                <c:pt idx="62">
                  <c:v>-854.31664652119537</c:v>
                </c:pt>
                <c:pt idx="63">
                  <c:v>-1185.6838181006792</c:v>
                </c:pt>
                <c:pt idx="64">
                  <c:v>-1185.6838181006792</c:v>
                </c:pt>
                <c:pt idx="65">
                  <c:v>-1185.6838181006792</c:v>
                </c:pt>
                <c:pt idx="66">
                  <c:v>-1142.3399999999997</c:v>
                </c:pt>
                <c:pt idx="67">
                  <c:v>-1142.3399999999997</c:v>
                </c:pt>
                <c:pt idx="68">
                  <c:v>-1142.3399999999997</c:v>
                </c:pt>
                <c:pt idx="69">
                  <c:v>-1142.3399999999997</c:v>
                </c:pt>
                <c:pt idx="70">
                  <c:v>-1142.3399999999997</c:v>
                </c:pt>
                <c:pt idx="71">
                  <c:v>-1142.3399999999997</c:v>
                </c:pt>
                <c:pt idx="72">
                  <c:v>-1142.3399999999997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88C-4417-A279-BD7796C618E7}"/>
            </c:ext>
          </c:extLst>
        </c:ser>
        <c:ser>
          <c:idx val="2"/>
          <c:order val="2"/>
          <c:tx>
            <c:v>Area 3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Path!$N$21:$N$93</c:f>
              <c:numCache>
                <c:formatCode>0.0</c:formatCod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33.29999999999999</c:v>
                </c:pt>
                <c:pt idx="4">
                  <c:v>33.29999999999999</c:v>
                </c:pt>
                <c:pt idx="5">
                  <c:v>33.29999999999999</c:v>
                </c:pt>
                <c:pt idx="6">
                  <c:v>34.92499999999999</c:v>
                </c:pt>
                <c:pt idx="7">
                  <c:v>34.92499999999999</c:v>
                </c:pt>
                <c:pt idx="8">
                  <c:v>34.92499999999999</c:v>
                </c:pt>
                <c:pt idx="9">
                  <c:v>37.223097038856267</c:v>
                </c:pt>
                <c:pt idx="10">
                  <c:v>37.223097038856267</c:v>
                </c:pt>
                <c:pt idx="11">
                  <c:v>37.223097038856267</c:v>
                </c:pt>
                <c:pt idx="12">
                  <c:v>38.848097038856267</c:v>
                </c:pt>
                <c:pt idx="13">
                  <c:v>38.848097038856267</c:v>
                </c:pt>
                <c:pt idx="14">
                  <c:v>38.848097038856267</c:v>
                </c:pt>
                <c:pt idx="15">
                  <c:v>107.24809703885629</c:v>
                </c:pt>
                <c:pt idx="16">
                  <c:v>107.24809703885629</c:v>
                </c:pt>
                <c:pt idx="17">
                  <c:v>107.24809703885629</c:v>
                </c:pt>
                <c:pt idx="18">
                  <c:v>108.87309703885629</c:v>
                </c:pt>
                <c:pt idx="19">
                  <c:v>108.87309703885629</c:v>
                </c:pt>
                <c:pt idx="20">
                  <c:v>108.87309703885629</c:v>
                </c:pt>
                <c:pt idx="21">
                  <c:v>111.17119407771257</c:v>
                </c:pt>
                <c:pt idx="22">
                  <c:v>111.17119407771257</c:v>
                </c:pt>
                <c:pt idx="23">
                  <c:v>111.17119407771257</c:v>
                </c:pt>
                <c:pt idx="24">
                  <c:v>112.79619407771257</c:v>
                </c:pt>
                <c:pt idx="25">
                  <c:v>112.79619407771257</c:v>
                </c:pt>
                <c:pt idx="26">
                  <c:v>112.79619407771257</c:v>
                </c:pt>
                <c:pt idx="27">
                  <c:v>113.69619407771258</c:v>
                </c:pt>
                <c:pt idx="28">
                  <c:v>113.69619407771258</c:v>
                </c:pt>
                <c:pt idx="29">
                  <c:v>113.69619407771258</c:v>
                </c:pt>
                <c:pt idx="30">
                  <c:v>114.59619407771257</c:v>
                </c:pt>
                <c:pt idx="31">
                  <c:v>114.59619407771257</c:v>
                </c:pt>
                <c:pt idx="32">
                  <c:v>114.59619407771257</c:v>
                </c:pt>
                <c:pt idx="33">
                  <c:v>116.22119407771257</c:v>
                </c:pt>
                <c:pt idx="34">
                  <c:v>116.22119407771257</c:v>
                </c:pt>
                <c:pt idx="35">
                  <c:v>116.22119407771257</c:v>
                </c:pt>
                <c:pt idx="36">
                  <c:v>118.51929111656885</c:v>
                </c:pt>
                <c:pt idx="37">
                  <c:v>118.51929111656885</c:v>
                </c:pt>
                <c:pt idx="38">
                  <c:v>118.51929111656885</c:v>
                </c:pt>
                <c:pt idx="39">
                  <c:v>120.14429111656885</c:v>
                </c:pt>
                <c:pt idx="40">
                  <c:v>120.14429111656885</c:v>
                </c:pt>
                <c:pt idx="41">
                  <c:v>120.14429111656885</c:v>
                </c:pt>
                <c:pt idx="42">
                  <c:v>146.74268420213843</c:v>
                </c:pt>
                <c:pt idx="43">
                  <c:v>146.74268420213843</c:v>
                </c:pt>
                <c:pt idx="44">
                  <c:v>146.74268420213843</c:v>
                </c:pt>
                <c:pt idx="45">
                  <c:v>173.34107728770803</c:v>
                </c:pt>
                <c:pt idx="46">
                  <c:v>173.34107728770803</c:v>
                </c:pt>
                <c:pt idx="47">
                  <c:v>173.34107728770803</c:v>
                </c:pt>
                <c:pt idx="48">
                  <c:v>176.69188074492325</c:v>
                </c:pt>
                <c:pt idx="49">
                  <c:v>176.69188074492325</c:v>
                </c:pt>
                <c:pt idx="50">
                  <c:v>176.69188074492325</c:v>
                </c:pt>
                <c:pt idx="51">
                  <c:v>180.41592542898456</c:v>
                </c:pt>
                <c:pt idx="52">
                  <c:v>180.41592542898456</c:v>
                </c:pt>
                <c:pt idx="53">
                  <c:v>180.41592542898456</c:v>
                </c:pt>
                <c:pt idx="54">
                  <c:v>182.04092542898456</c:v>
                </c:pt>
                <c:pt idx="55">
                  <c:v>182.04092542898456</c:v>
                </c:pt>
                <c:pt idx="56">
                  <c:v>182.04092542898456</c:v>
                </c:pt>
                <c:pt idx="57">
                  <c:v>183.84092542898458</c:v>
                </c:pt>
                <c:pt idx="58">
                  <c:v>183.84092542898458</c:v>
                </c:pt>
                <c:pt idx="59">
                  <c:v>183.84092542898458</c:v>
                </c:pt>
                <c:pt idx="60">
                  <c:v>189.86592542898458</c:v>
                </c:pt>
                <c:pt idx="61">
                  <c:v>189.86592542898458</c:v>
                </c:pt>
                <c:pt idx="62">
                  <c:v>189.86592542898458</c:v>
                </c:pt>
                <c:pt idx="63">
                  <c:v>196.76001774116648</c:v>
                </c:pt>
                <c:pt idx="64">
                  <c:v>196.76001774116648</c:v>
                </c:pt>
                <c:pt idx="65">
                  <c:v>196.76001774116648</c:v>
                </c:pt>
                <c:pt idx="66">
                  <c:v>200.1108211983817</c:v>
                </c:pt>
                <c:pt idx="67">
                  <c:v>200.1108211983817</c:v>
                </c:pt>
                <c:pt idx="68">
                  <c:v>200.1108211983817</c:v>
                </c:pt>
                <c:pt idx="69">
                  <c:v>230.85921428395127</c:v>
                </c:pt>
                <c:pt idx="70">
                  <c:v>230.85921428395127</c:v>
                </c:pt>
                <c:pt idx="71">
                  <c:v>230.85921428395127</c:v>
                </c:pt>
                <c:pt idx="72">
                  <c:v>261.60760736952085</c:v>
                </c:pt>
              </c:numCache>
            </c:numRef>
          </c:xVal>
          <c:yVal>
            <c:numRef>
              <c:f>Path!$U$21:$U$93</c:f>
              <c:numCache>
                <c:formatCode>0</c:formatCode>
                <c:ptCount val="73"/>
                <c:pt idx="0">
                  <c:v>308.10000000000002</c:v>
                </c:pt>
                <c:pt idx="1">
                  <c:v>308.10000000000002</c:v>
                </c:pt>
                <c:pt idx="2">
                  <c:v>308.10000000000002</c:v>
                </c:pt>
                <c:pt idx="3">
                  <c:v>308.10000000000002</c:v>
                </c:pt>
                <c:pt idx="4">
                  <c:v>308.10000000000002</c:v>
                </c:pt>
                <c:pt idx="5">
                  <c:v>308.10000000000002</c:v>
                </c:pt>
                <c:pt idx="6">
                  <c:v>308.10000000000002</c:v>
                </c:pt>
                <c:pt idx="7">
                  <c:v>308.10000000000002</c:v>
                </c:pt>
                <c:pt idx="8">
                  <c:v>308.10000000000002</c:v>
                </c:pt>
                <c:pt idx="9">
                  <c:v>308.10000000000002</c:v>
                </c:pt>
                <c:pt idx="10">
                  <c:v>308.10000000000002</c:v>
                </c:pt>
                <c:pt idx="11">
                  <c:v>308.10000000000002</c:v>
                </c:pt>
                <c:pt idx="12">
                  <c:v>308.10000000000002</c:v>
                </c:pt>
                <c:pt idx="13">
                  <c:v>308.10000000000002</c:v>
                </c:pt>
                <c:pt idx="14">
                  <c:v>308.10000000000002</c:v>
                </c:pt>
                <c:pt idx="15">
                  <c:v>308.10000000000002</c:v>
                </c:pt>
                <c:pt idx="16">
                  <c:v>308.10000000000002</c:v>
                </c:pt>
                <c:pt idx="17">
                  <c:v>308.10000000000002</c:v>
                </c:pt>
                <c:pt idx="18">
                  <c:v>308.10000000000002</c:v>
                </c:pt>
                <c:pt idx="19">
                  <c:v>308.10000000000002</c:v>
                </c:pt>
                <c:pt idx="20">
                  <c:v>308.10000000000002</c:v>
                </c:pt>
                <c:pt idx="21">
                  <c:v>308.10000000000002</c:v>
                </c:pt>
                <c:pt idx="22">
                  <c:v>308.10000000000002</c:v>
                </c:pt>
                <c:pt idx="23">
                  <c:v>308.10000000000002</c:v>
                </c:pt>
                <c:pt idx="24">
                  <c:v>308.10000000000002</c:v>
                </c:pt>
                <c:pt idx="25">
                  <c:v>308.10000000000002</c:v>
                </c:pt>
                <c:pt idx="26">
                  <c:v>308.10000000000002</c:v>
                </c:pt>
                <c:pt idx="27">
                  <c:v>308.10000000000002</c:v>
                </c:pt>
                <c:pt idx="28">
                  <c:v>308.10000000000002</c:v>
                </c:pt>
                <c:pt idx="29">
                  <c:v>308.10000000000002</c:v>
                </c:pt>
                <c:pt idx="30">
                  <c:v>308.10000000000002</c:v>
                </c:pt>
                <c:pt idx="31">
                  <c:v>308.10000000000002</c:v>
                </c:pt>
                <c:pt idx="32">
                  <c:v>308.10000000000002</c:v>
                </c:pt>
                <c:pt idx="33">
                  <c:v>308.10000000000002</c:v>
                </c:pt>
                <c:pt idx="34">
                  <c:v>308.10000000000002</c:v>
                </c:pt>
                <c:pt idx="35">
                  <c:v>308.10000000000002</c:v>
                </c:pt>
                <c:pt idx="36">
                  <c:v>308.10000000000002</c:v>
                </c:pt>
                <c:pt idx="37">
                  <c:v>308.10000000000002</c:v>
                </c:pt>
                <c:pt idx="38">
                  <c:v>308.10000000000002</c:v>
                </c:pt>
                <c:pt idx="39">
                  <c:v>308.10000000000002</c:v>
                </c:pt>
                <c:pt idx="40">
                  <c:v>308.10000000000002</c:v>
                </c:pt>
                <c:pt idx="41">
                  <c:v>308.10000000000002</c:v>
                </c:pt>
                <c:pt idx="42">
                  <c:v>308.10000000000002</c:v>
                </c:pt>
                <c:pt idx="43">
                  <c:v>308.10000000000002</c:v>
                </c:pt>
                <c:pt idx="44">
                  <c:v>308.10000000000002</c:v>
                </c:pt>
                <c:pt idx="45">
                  <c:v>308.10000000000002</c:v>
                </c:pt>
                <c:pt idx="46">
                  <c:v>308.09999999999997</c:v>
                </c:pt>
                <c:pt idx="47">
                  <c:v>308.09999999999997</c:v>
                </c:pt>
                <c:pt idx="48">
                  <c:v>412.52289942985408</c:v>
                </c:pt>
                <c:pt idx="49">
                  <c:v>412.52289942985408</c:v>
                </c:pt>
                <c:pt idx="50">
                  <c:v>412.52289942985408</c:v>
                </c:pt>
                <c:pt idx="51">
                  <c:v>528.57731696922326</c:v>
                </c:pt>
                <c:pt idx="52">
                  <c:v>528.57731696922326</c:v>
                </c:pt>
                <c:pt idx="53">
                  <c:v>528.57731696922326</c:v>
                </c:pt>
                <c:pt idx="54">
                  <c:v>579.21807037065855</c:v>
                </c:pt>
                <c:pt idx="55">
                  <c:v>579.21807037065855</c:v>
                </c:pt>
                <c:pt idx="56">
                  <c:v>579.21807037065855</c:v>
                </c:pt>
                <c:pt idx="57">
                  <c:v>635.31244336917189</c:v>
                </c:pt>
                <c:pt idx="58">
                  <c:v>635.31244336917189</c:v>
                </c:pt>
                <c:pt idx="59">
                  <c:v>635.31244336917189</c:v>
                </c:pt>
                <c:pt idx="60">
                  <c:v>823.07277521141668</c:v>
                </c:pt>
                <c:pt idx="61">
                  <c:v>823.07277521141668</c:v>
                </c:pt>
                <c:pt idx="62">
                  <c:v>823.07277521141668</c:v>
                </c:pt>
                <c:pt idx="63">
                  <c:v>1037.9171005701457</c:v>
                </c:pt>
                <c:pt idx="64">
                  <c:v>1037.9171005701457</c:v>
                </c:pt>
                <c:pt idx="65">
                  <c:v>1037.9171005701457</c:v>
                </c:pt>
                <c:pt idx="66">
                  <c:v>1142.3399999999997</c:v>
                </c:pt>
                <c:pt idx="67">
                  <c:v>1142.3399999999997</c:v>
                </c:pt>
                <c:pt idx="68">
                  <c:v>1142.3399999999997</c:v>
                </c:pt>
                <c:pt idx="69">
                  <c:v>1142.3399999999997</c:v>
                </c:pt>
                <c:pt idx="70">
                  <c:v>1142.3399999999997</c:v>
                </c:pt>
                <c:pt idx="71">
                  <c:v>1142.3399999999997</c:v>
                </c:pt>
                <c:pt idx="72">
                  <c:v>1142.3399999999997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88C-4417-A279-BD7796C618E7}"/>
            </c:ext>
          </c:extLst>
        </c:ser>
        <c:ser>
          <c:idx val="3"/>
          <c:order val="3"/>
          <c:tx>
            <c:v>Area 4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Path!$N$21:$N$93</c:f>
              <c:numCache>
                <c:formatCode>0.0</c:formatCod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33.29999999999999</c:v>
                </c:pt>
                <c:pt idx="4">
                  <c:v>33.29999999999999</c:v>
                </c:pt>
                <c:pt idx="5">
                  <c:v>33.29999999999999</c:v>
                </c:pt>
                <c:pt idx="6">
                  <c:v>34.92499999999999</c:v>
                </c:pt>
                <c:pt idx="7">
                  <c:v>34.92499999999999</c:v>
                </c:pt>
                <c:pt idx="8">
                  <c:v>34.92499999999999</c:v>
                </c:pt>
                <c:pt idx="9">
                  <c:v>37.223097038856267</c:v>
                </c:pt>
                <c:pt idx="10">
                  <c:v>37.223097038856267</c:v>
                </c:pt>
                <c:pt idx="11">
                  <c:v>37.223097038856267</c:v>
                </c:pt>
                <c:pt idx="12">
                  <c:v>38.848097038856267</c:v>
                </c:pt>
                <c:pt idx="13">
                  <c:v>38.848097038856267</c:v>
                </c:pt>
                <c:pt idx="14">
                  <c:v>38.848097038856267</c:v>
                </c:pt>
                <c:pt idx="15">
                  <c:v>107.24809703885629</c:v>
                </c:pt>
                <c:pt idx="16">
                  <c:v>107.24809703885629</c:v>
                </c:pt>
                <c:pt idx="17">
                  <c:v>107.24809703885629</c:v>
                </c:pt>
                <c:pt idx="18">
                  <c:v>108.87309703885629</c:v>
                </c:pt>
                <c:pt idx="19">
                  <c:v>108.87309703885629</c:v>
                </c:pt>
                <c:pt idx="20">
                  <c:v>108.87309703885629</c:v>
                </c:pt>
                <c:pt idx="21">
                  <c:v>111.17119407771257</c:v>
                </c:pt>
                <c:pt idx="22">
                  <c:v>111.17119407771257</c:v>
                </c:pt>
                <c:pt idx="23">
                  <c:v>111.17119407771257</c:v>
                </c:pt>
                <c:pt idx="24">
                  <c:v>112.79619407771257</c:v>
                </c:pt>
                <c:pt idx="25">
                  <c:v>112.79619407771257</c:v>
                </c:pt>
                <c:pt idx="26">
                  <c:v>112.79619407771257</c:v>
                </c:pt>
                <c:pt idx="27">
                  <c:v>113.69619407771258</c:v>
                </c:pt>
                <c:pt idx="28">
                  <c:v>113.69619407771258</c:v>
                </c:pt>
                <c:pt idx="29">
                  <c:v>113.69619407771258</c:v>
                </c:pt>
                <c:pt idx="30">
                  <c:v>114.59619407771257</c:v>
                </c:pt>
                <c:pt idx="31">
                  <c:v>114.59619407771257</c:v>
                </c:pt>
                <c:pt idx="32">
                  <c:v>114.59619407771257</c:v>
                </c:pt>
                <c:pt idx="33">
                  <c:v>116.22119407771257</c:v>
                </c:pt>
                <c:pt idx="34">
                  <c:v>116.22119407771257</c:v>
                </c:pt>
                <c:pt idx="35">
                  <c:v>116.22119407771257</c:v>
                </c:pt>
                <c:pt idx="36">
                  <c:v>118.51929111656885</c:v>
                </c:pt>
                <c:pt idx="37">
                  <c:v>118.51929111656885</c:v>
                </c:pt>
                <c:pt idx="38">
                  <c:v>118.51929111656885</c:v>
                </c:pt>
                <c:pt idx="39">
                  <c:v>120.14429111656885</c:v>
                </c:pt>
                <c:pt idx="40">
                  <c:v>120.14429111656885</c:v>
                </c:pt>
                <c:pt idx="41">
                  <c:v>120.14429111656885</c:v>
                </c:pt>
                <c:pt idx="42">
                  <c:v>146.74268420213843</c:v>
                </c:pt>
                <c:pt idx="43">
                  <c:v>146.74268420213843</c:v>
                </c:pt>
                <c:pt idx="44">
                  <c:v>146.74268420213843</c:v>
                </c:pt>
                <c:pt idx="45">
                  <c:v>173.34107728770803</c:v>
                </c:pt>
                <c:pt idx="46">
                  <c:v>173.34107728770803</c:v>
                </c:pt>
                <c:pt idx="47">
                  <c:v>173.34107728770803</c:v>
                </c:pt>
                <c:pt idx="48">
                  <c:v>176.69188074492325</c:v>
                </c:pt>
                <c:pt idx="49">
                  <c:v>176.69188074492325</c:v>
                </c:pt>
                <c:pt idx="50">
                  <c:v>176.69188074492325</c:v>
                </c:pt>
                <c:pt idx="51">
                  <c:v>180.41592542898456</c:v>
                </c:pt>
                <c:pt idx="52">
                  <c:v>180.41592542898456</c:v>
                </c:pt>
                <c:pt idx="53">
                  <c:v>180.41592542898456</c:v>
                </c:pt>
                <c:pt idx="54">
                  <c:v>182.04092542898456</c:v>
                </c:pt>
                <c:pt idx="55">
                  <c:v>182.04092542898456</c:v>
                </c:pt>
                <c:pt idx="56">
                  <c:v>182.04092542898456</c:v>
                </c:pt>
                <c:pt idx="57">
                  <c:v>183.84092542898458</c:v>
                </c:pt>
                <c:pt idx="58">
                  <c:v>183.84092542898458</c:v>
                </c:pt>
                <c:pt idx="59">
                  <c:v>183.84092542898458</c:v>
                </c:pt>
                <c:pt idx="60">
                  <c:v>189.86592542898458</c:v>
                </c:pt>
                <c:pt idx="61">
                  <c:v>189.86592542898458</c:v>
                </c:pt>
                <c:pt idx="62">
                  <c:v>189.86592542898458</c:v>
                </c:pt>
                <c:pt idx="63">
                  <c:v>196.76001774116648</c:v>
                </c:pt>
                <c:pt idx="64">
                  <c:v>196.76001774116648</c:v>
                </c:pt>
                <c:pt idx="65">
                  <c:v>196.76001774116648</c:v>
                </c:pt>
                <c:pt idx="66">
                  <c:v>200.1108211983817</c:v>
                </c:pt>
                <c:pt idx="67">
                  <c:v>200.1108211983817</c:v>
                </c:pt>
                <c:pt idx="68">
                  <c:v>200.1108211983817</c:v>
                </c:pt>
                <c:pt idx="69">
                  <c:v>230.85921428395127</c:v>
                </c:pt>
                <c:pt idx="70">
                  <c:v>230.85921428395127</c:v>
                </c:pt>
                <c:pt idx="71">
                  <c:v>230.85921428395127</c:v>
                </c:pt>
                <c:pt idx="72">
                  <c:v>261.60760736952085</c:v>
                </c:pt>
              </c:numCache>
            </c:numRef>
          </c:xVal>
          <c:yVal>
            <c:numRef>
              <c:f>Path!$V$21:$V$93</c:f>
              <c:numCache>
                <c:formatCode>0</c:formatCode>
                <c:ptCount val="73"/>
                <c:pt idx="0">
                  <c:v>-308.10000000000002</c:v>
                </c:pt>
                <c:pt idx="1">
                  <c:v>-308.10000000000002</c:v>
                </c:pt>
                <c:pt idx="2">
                  <c:v>-308.10000000000002</c:v>
                </c:pt>
                <c:pt idx="3">
                  <c:v>-308.10000000000002</c:v>
                </c:pt>
                <c:pt idx="4">
                  <c:v>-308.10000000000002</c:v>
                </c:pt>
                <c:pt idx="5">
                  <c:v>-308.10000000000002</c:v>
                </c:pt>
                <c:pt idx="6">
                  <c:v>-308.10000000000002</c:v>
                </c:pt>
                <c:pt idx="7">
                  <c:v>-308.10000000000002</c:v>
                </c:pt>
                <c:pt idx="8">
                  <c:v>-308.10000000000002</c:v>
                </c:pt>
                <c:pt idx="9">
                  <c:v>-308.10000000000002</c:v>
                </c:pt>
                <c:pt idx="10">
                  <c:v>-308.10000000000002</c:v>
                </c:pt>
                <c:pt idx="11">
                  <c:v>-308.10000000000002</c:v>
                </c:pt>
                <c:pt idx="12">
                  <c:v>-308.10000000000002</c:v>
                </c:pt>
                <c:pt idx="13">
                  <c:v>-308.10000000000002</c:v>
                </c:pt>
                <c:pt idx="14">
                  <c:v>-308.10000000000002</c:v>
                </c:pt>
                <c:pt idx="15">
                  <c:v>-308.10000000000002</c:v>
                </c:pt>
                <c:pt idx="16">
                  <c:v>-308.10000000000002</c:v>
                </c:pt>
                <c:pt idx="17">
                  <c:v>-308.10000000000002</c:v>
                </c:pt>
                <c:pt idx="18">
                  <c:v>-308.10000000000002</c:v>
                </c:pt>
                <c:pt idx="19">
                  <c:v>-308.10000000000002</c:v>
                </c:pt>
                <c:pt idx="20">
                  <c:v>-308.10000000000002</c:v>
                </c:pt>
                <c:pt idx="21">
                  <c:v>-308.10000000000002</c:v>
                </c:pt>
                <c:pt idx="22">
                  <c:v>-308.10000000000002</c:v>
                </c:pt>
                <c:pt idx="23">
                  <c:v>-308.10000000000002</c:v>
                </c:pt>
                <c:pt idx="24">
                  <c:v>-308.10000000000002</c:v>
                </c:pt>
                <c:pt idx="25">
                  <c:v>-308.10000000000002</c:v>
                </c:pt>
                <c:pt idx="26">
                  <c:v>-308.10000000000002</c:v>
                </c:pt>
                <c:pt idx="27">
                  <c:v>-308.10000000000002</c:v>
                </c:pt>
                <c:pt idx="28">
                  <c:v>-308.10000000000002</c:v>
                </c:pt>
                <c:pt idx="29">
                  <c:v>-308.10000000000002</c:v>
                </c:pt>
                <c:pt idx="30">
                  <c:v>-308.10000000000002</c:v>
                </c:pt>
                <c:pt idx="31">
                  <c:v>-308.10000000000002</c:v>
                </c:pt>
                <c:pt idx="32">
                  <c:v>-308.10000000000002</c:v>
                </c:pt>
                <c:pt idx="33">
                  <c:v>-308.10000000000002</c:v>
                </c:pt>
                <c:pt idx="34">
                  <c:v>-308.10000000000002</c:v>
                </c:pt>
                <c:pt idx="35">
                  <c:v>-308.10000000000002</c:v>
                </c:pt>
                <c:pt idx="36">
                  <c:v>-308.10000000000002</c:v>
                </c:pt>
                <c:pt idx="37">
                  <c:v>-308.10000000000002</c:v>
                </c:pt>
                <c:pt idx="38">
                  <c:v>-308.10000000000002</c:v>
                </c:pt>
                <c:pt idx="39">
                  <c:v>-308.10000000000002</c:v>
                </c:pt>
                <c:pt idx="40">
                  <c:v>-308.10000000000002</c:v>
                </c:pt>
                <c:pt idx="41">
                  <c:v>-308.10000000000002</c:v>
                </c:pt>
                <c:pt idx="42">
                  <c:v>-308.10000000000002</c:v>
                </c:pt>
                <c:pt idx="43">
                  <c:v>-308.10000000000002</c:v>
                </c:pt>
                <c:pt idx="44">
                  <c:v>-308.10000000000002</c:v>
                </c:pt>
                <c:pt idx="45">
                  <c:v>-308.10000000000002</c:v>
                </c:pt>
                <c:pt idx="46">
                  <c:v>-308.09999999999997</c:v>
                </c:pt>
                <c:pt idx="47">
                  <c:v>-308.09999999999997</c:v>
                </c:pt>
                <c:pt idx="48">
                  <c:v>-412.52289942985408</c:v>
                </c:pt>
                <c:pt idx="49">
                  <c:v>-412.52289942985408</c:v>
                </c:pt>
                <c:pt idx="50">
                  <c:v>-412.52289942985408</c:v>
                </c:pt>
                <c:pt idx="51">
                  <c:v>-528.57731696922326</c:v>
                </c:pt>
                <c:pt idx="52">
                  <c:v>-528.57731696922326</c:v>
                </c:pt>
                <c:pt idx="53">
                  <c:v>-528.57731696922326</c:v>
                </c:pt>
                <c:pt idx="54">
                  <c:v>-579.21807037065855</c:v>
                </c:pt>
                <c:pt idx="55">
                  <c:v>-579.21807037065855</c:v>
                </c:pt>
                <c:pt idx="56">
                  <c:v>-579.21807037065855</c:v>
                </c:pt>
                <c:pt idx="57">
                  <c:v>-635.31244336917189</c:v>
                </c:pt>
                <c:pt idx="58">
                  <c:v>-635.31244336917189</c:v>
                </c:pt>
                <c:pt idx="59">
                  <c:v>-635.31244336917189</c:v>
                </c:pt>
                <c:pt idx="60">
                  <c:v>-823.07277521141668</c:v>
                </c:pt>
                <c:pt idx="61">
                  <c:v>-823.07277521141668</c:v>
                </c:pt>
                <c:pt idx="62">
                  <c:v>-823.07277521141668</c:v>
                </c:pt>
                <c:pt idx="63">
                  <c:v>-1037.9171005701457</c:v>
                </c:pt>
                <c:pt idx="64">
                  <c:v>-1037.9171005701457</c:v>
                </c:pt>
                <c:pt idx="65">
                  <c:v>-1037.9171005701457</c:v>
                </c:pt>
                <c:pt idx="66">
                  <c:v>-1142.3399999999997</c:v>
                </c:pt>
                <c:pt idx="67">
                  <c:v>-1142.3399999999997</c:v>
                </c:pt>
                <c:pt idx="68">
                  <c:v>-1142.3399999999997</c:v>
                </c:pt>
                <c:pt idx="69">
                  <c:v>-1142.3399999999997</c:v>
                </c:pt>
                <c:pt idx="70">
                  <c:v>-1142.3399999999997</c:v>
                </c:pt>
                <c:pt idx="71">
                  <c:v>-1142.3399999999997</c:v>
                </c:pt>
                <c:pt idx="72">
                  <c:v>-1142.3399999999997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88C-4417-A279-BD7796C618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9148224"/>
        <c:axId val="1"/>
      </c:scatterChart>
      <c:valAx>
        <c:axId val="319148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029"/>
                  <a:t>Length</a:t>
                </a:r>
              </a:p>
            </c:rich>
          </c:tx>
          <c:layout>
            <c:manualLayout>
              <c:xMode val="edge"/>
              <c:yMode val="edge"/>
              <c:x val="0.50347320969627496"/>
              <c:y val="0.8991620165126418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029"/>
                  <a:t>Area</a:t>
                </a:r>
              </a:p>
            </c:rich>
          </c:tx>
          <c:layout>
            <c:manualLayout>
              <c:xMode val="edge"/>
              <c:yMode val="edge"/>
              <c:x val="2.7777853591524626E-2"/>
              <c:y val="0.4509815684804105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9148224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84741354609773"/>
          <c:y val="2.6929982046678635E-2"/>
          <c:w val="0.86111257105945338"/>
          <c:h val="0.85996409335727109"/>
        </c:manualLayout>
      </c:layout>
      <c:scatterChart>
        <c:scatterStyle val="lineMarker"/>
        <c:varyColors val="0"/>
        <c:ser>
          <c:idx val="1"/>
          <c:order val="0"/>
          <c:tx>
            <c:v>Outline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Panels!$F$9:$F$80</c:f>
              <c:numCache>
                <c:formatCode>0.0</c:formatCode>
                <c:ptCount val="72"/>
                <c:pt idx="0">
                  <c:v>83.2</c:v>
                </c:pt>
                <c:pt idx="1">
                  <c:v>83.2</c:v>
                </c:pt>
                <c:pt idx="2">
                  <c:v>85</c:v>
                </c:pt>
                <c:pt idx="3">
                  <c:v>85</c:v>
                </c:pt>
                <c:pt idx="4">
                  <c:v>83.2</c:v>
                </c:pt>
                <c:pt idx="6">
                  <c:v>0</c:v>
                </c:pt>
                <c:pt idx="7">
                  <c:v>0</c:v>
                </c:pt>
                <c:pt idx="8">
                  <c:v>1.8</c:v>
                </c:pt>
                <c:pt idx="9">
                  <c:v>1.8</c:v>
                </c:pt>
                <c:pt idx="10">
                  <c:v>0</c:v>
                </c:pt>
                <c:pt idx="12">
                  <c:v>43.4</c:v>
                </c:pt>
                <c:pt idx="13">
                  <c:v>43.4</c:v>
                </c:pt>
                <c:pt idx="14">
                  <c:v>41.6</c:v>
                </c:pt>
                <c:pt idx="15">
                  <c:v>41.6</c:v>
                </c:pt>
                <c:pt idx="16">
                  <c:v>43.4</c:v>
                </c:pt>
                <c:pt idx="18">
                  <c:v>85</c:v>
                </c:pt>
                <c:pt idx="19">
                  <c:v>0</c:v>
                </c:pt>
                <c:pt idx="20">
                  <c:v>0</c:v>
                </c:pt>
                <c:pt idx="21">
                  <c:v>85</c:v>
                </c:pt>
                <c:pt idx="22">
                  <c:v>85</c:v>
                </c:pt>
                <c:pt idx="24">
                  <c:v>0</c:v>
                </c:pt>
                <c:pt idx="25">
                  <c:v>85</c:v>
                </c:pt>
                <c:pt idx="26">
                  <c:v>85</c:v>
                </c:pt>
                <c:pt idx="27">
                  <c:v>0</c:v>
                </c:pt>
                <c:pt idx="28">
                  <c:v>0</c:v>
                </c:pt>
                <c:pt idx="30">
                  <c:v>85</c:v>
                </c:pt>
                <c:pt idx="31">
                  <c:v>66.599999999999994</c:v>
                </c:pt>
                <c:pt idx="32">
                  <c:v>66.599999999999994</c:v>
                </c:pt>
                <c:pt idx="33">
                  <c:v>85</c:v>
                </c:pt>
                <c:pt idx="34">
                  <c:v>85</c:v>
                </c:pt>
                <c:pt idx="36">
                  <c:v>0</c:v>
                </c:pt>
                <c:pt idx="37">
                  <c:v>18.399999999999999</c:v>
                </c:pt>
                <c:pt idx="38">
                  <c:v>18.399999999999999</c:v>
                </c:pt>
                <c:pt idx="39">
                  <c:v>0</c:v>
                </c:pt>
                <c:pt idx="40">
                  <c:v>0</c:v>
                </c:pt>
                <c:pt idx="42">
                  <c:v>76.699999999999989</c:v>
                </c:pt>
                <c:pt idx="43">
                  <c:v>76.699999999999989</c:v>
                </c:pt>
                <c:pt idx="44">
                  <c:v>8.2999999999999972</c:v>
                </c:pt>
                <c:pt idx="45">
                  <c:v>8.2999999999999972</c:v>
                </c:pt>
                <c:pt idx="46">
                  <c:v>76.699999999999989</c:v>
                </c:pt>
                <c:pt idx="48">
                  <c:v>8.2999999999999972</c:v>
                </c:pt>
                <c:pt idx="49">
                  <c:v>8.2999999999999972</c:v>
                </c:pt>
                <c:pt idx="50">
                  <c:v>10.099999999999998</c:v>
                </c:pt>
                <c:pt idx="51">
                  <c:v>10.099999999999998</c:v>
                </c:pt>
                <c:pt idx="52">
                  <c:v>8.2999999999999972</c:v>
                </c:pt>
                <c:pt idx="54">
                  <c:v>74.899999999999991</c:v>
                </c:pt>
                <c:pt idx="55">
                  <c:v>74.899999999999991</c:v>
                </c:pt>
                <c:pt idx="56">
                  <c:v>76.699999999999989</c:v>
                </c:pt>
                <c:pt idx="57">
                  <c:v>76.699999999999989</c:v>
                </c:pt>
                <c:pt idx="58">
                  <c:v>74.899999999999991</c:v>
                </c:pt>
                <c:pt idx="60">
                  <c:v>66.599999999999994</c:v>
                </c:pt>
                <c:pt idx="61">
                  <c:v>66.599999999999994</c:v>
                </c:pt>
                <c:pt idx="62">
                  <c:v>68.399999999999991</c:v>
                </c:pt>
                <c:pt idx="63">
                  <c:v>68.399999999999991</c:v>
                </c:pt>
                <c:pt idx="64">
                  <c:v>66.599999999999994</c:v>
                </c:pt>
                <c:pt idx="66">
                  <c:v>16.599999999999998</c:v>
                </c:pt>
                <c:pt idx="67">
                  <c:v>16.599999999999998</c:v>
                </c:pt>
                <c:pt idx="68">
                  <c:v>18.399999999999999</c:v>
                </c:pt>
                <c:pt idx="69">
                  <c:v>18.399999999999999</c:v>
                </c:pt>
                <c:pt idx="70">
                  <c:v>16.599999999999998</c:v>
                </c:pt>
              </c:numCache>
            </c:numRef>
          </c:xVal>
          <c:yVal>
            <c:numRef>
              <c:f>Panels!$G$9:$G$80</c:f>
              <c:numCache>
                <c:formatCode>0.0</c:formatCode>
                <c:ptCount val="72"/>
                <c:pt idx="0">
                  <c:v>83.2</c:v>
                </c:pt>
                <c:pt idx="1">
                  <c:v>1.8</c:v>
                </c:pt>
                <c:pt idx="2">
                  <c:v>1.8</c:v>
                </c:pt>
                <c:pt idx="3">
                  <c:v>83.2</c:v>
                </c:pt>
                <c:pt idx="4">
                  <c:v>83.2</c:v>
                </c:pt>
                <c:pt idx="6">
                  <c:v>83.2</c:v>
                </c:pt>
                <c:pt idx="7">
                  <c:v>1.8</c:v>
                </c:pt>
                <c:pt idx="8">
                  <c:v>1.8</c:v>
                </c:pt>
                <c:pt idx="9">
                  <c:v>83.2</c:v>
                </c:pt>
                <c:pt idx="10">
                  <c:v>83.2</c:v>
                </c:pt>
                <c:pt idx="12">
                  <c:v>1.8</c:v>
                </c:pt>
                <c:pt idx="13">
                  <c:v>8.3000000000000007</c:v>
                </c:pt>
                <c:pt idx="14">
                  <c:v>8.3000000000000007</c:v>
                </c:pt>
                <c:pt idx="15">
                  <c:v>1.8</c:v>
                </c:pt>
                <c:pt idx="16">
                  <c:v>1.8</c:v>
                </c:pt>
                <c:pt idx="18">
                  <c:v>85</c:v>
                </c:pt>
                <c:pt idx="19">
                  <c:v>85</c:v>
                </c:pt>
                <c:pt idx="20">
                  <c:v>0</c:v>
                </c:pt>
                <c:pt idx="21">
                  <c:v>0</c:v>
                </c:pt>
                <c:pt idx="22">
                  <c:v>85</c:v>
                </c:pt>
                <c:pt idx="24">
                  <c:v>0</c:v>
                </c:pt>
                <c:pt idx="25">
                  <c:v>0</c:v>
                </c:pt>
                <c:pt idx="26">
                  <c:v>1.8</c:v>
                </c:pt>
                <c:pt idx="27">
                  <c:v>1.8</c:v>
                </c:pt>
                <c:pt idx="28">
                  <c:v>0</c:v>
                </c:pt>
                <c:pt idx="30">
                  <c:v>85</c:v>
                </c:pt>
                <c:pt idx="31">
                  <c:v>85</c:v>
                </c:pt>
                <c:pt idx="32">
                  <c:v>83.2</c:v>
                </c:pt>
                <c:pt idx="33">
                  <c:v>83.2</c:v>
                </c:pt>
                <c:pt idx="34">
                  <c:v>85</c:v>
                </c:pt>
                <c:pt idx="36">
                  <c:v>85</c:v>
                </c:pt>
                <c:pt idx="37">
                  <c:v>85</c:v>
                </c:pt>
                <c:pt idx="38">
                  <c:v>83.2</c:v>
                </c:pt>
                <c:pt idx="39">
                  <c:v>83.2</c:v>
                </c:pt>
                <c:pt idx="40">
                  <c:v>85</c:v>
                </c:pt>
                <c:pt idx="42">
                  <c:v>8.3000000000000007</c:v>
                </c:pt>
                <c:pt idx="43">
                  <c:v>10.100000000000001</c:v>
                </c:pt>
                <c:pt idx="44">
                  <c:v>10.100000000000001</c:v>
                </c:pt>
                <c:pt idx="45">
                  <c:v>8.3000000000000007</c:v>
                </c:pt>
                <c:pt idx="46">
                  <c:v>8.3000000000000007</c:v>
                </c:pt>
                <c:pt idx="48">
                  <c:v>10.100000000000001</c:v>
                </c:pt>
                <c:pt idx="49">
                  <c:v>76.700000000000017</c:v>
                </c:pt>
                <c:pt idx="50">
                  <c:v>76.700000000000017</c:v>
                </c:pt>
                <c:pt idx="51">
                  <c:v>10.100000000000001</c:v>
                </c:pt>
                <c:pt idx="52">
                  <c:v>10.100000000000001</c:v>
                </c:pt>
                <c:pt idx="54">
                  <c:v>10.100000000000001</c:v>
                </c:pt>
                <c:pt idx="55">
                  <c:v>76.700000000000017</c:v>
                </c:pt>
                <c:pt idx="56">
                  <c:v>76.700000000000017</c:v>
                </c:pt>
                <c:pt idx="57">
                  <c:v>10.100000000000001</c:v>
                </c:pt>
                <c:pt idx="58">
                  <c:v>10.100000000000001</c:v>
                </c:pt>
                <c:pt idx="60">
                  <c:v>83.2</c:v>
                </c:pt>
                <c:pt idx="61">
                  <c:v>23.503213828860829</c:v>
                </c:pt>
                <c:pt idx="62">
                  <c:v>23.503213828860829</c:v>
                </c:pt>
                <c:pt idx="63">
                  <c:v>83.2</c:v>
                </c:pt>
                <c:pt idx="64">
                  <c:v>83.2</c:v>
                </c:pt>
                <c:pt idx="66">
                  <c:v>83.2</c:v>
                </c:pt>
                <c:pt idx="67">
                  <c:v>23.503213828860829</c:v>
                </c:pt>
                <c:pt idx="68">
                  <c:v>23.503213828860829</c:v>
                </c:pt>
                <c:pt idx="69">
                  <c:v>83.2</c:v>
                </c:pt>
                <c:pt idx="70">
                  <c:v>83.2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307-475C-B04E-E376ACD34D65}"/>
            </c:ext>
          </c:extLst>
        </c:ser>
        <c:ser>
          <c:idx val="5"/>
          <c:order val="1"/>
          <c:tx>
            <c:v>Option 7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4"/>
            <c:spPr>
              <a:noFill/>
              <a:ln>
                <a:noFill/>
                <a:prstDash val="solid"/>
              </a:ln>
            </c:spPr>
          </c:marker>
          <c:xVal>
            <c:numRef>
              <c:f>Path!$F$19:$F$93</c:f>
              <c:numCache>
                <c:formatCode>0.0</c:formatCode>
                <c:ptCount val="75"/>
                <c:pt idx="0">
                  <c:v>43.4</c:v>
                </c:pt>
                <c:pt idx="1">
                  <c:v>43.4</c:v>
                </c:pt>
                <c:pt idx="3">
                  <c:v>76.699999999999989</c:v>
                </c:pt>
                <c:pt idx="4">
                  <c:v>76.699999999999989</c:v>
                </c:pt>
                <c:pt idx="6">
                  <c:v>76.699999999999989</c:v>
                </c:pt>
                <c:pt idx="7">
                  <c:v>79.949999999999989</c:v>
                </c:pt>
                <c:pt idx="9">
                  <c:v>76.699999999999989</c:v>
                </c:pt>
                <c:pt idx="10">
                  <c:v>83.2</c:v>
                </c:pt>
                <c:pt idx="12">
                  <c:v>76.699999999999989</c:v>
                </c:pt>
                <c:pt idx="13">
                  <c:v>83.2</c:v>
                </c:pt>
                <c:pt idx="15">
                  <c:v>83.2</c:v>
                </c:pt>
                <c:pt idx="16">
                  <c:v>76.699999999999989</c:v>
                </c:pt>
                <c:pt idx="18">
                  <c:v>83.2</c:v>
                </c:pt>
                <c:pt idx="19">
                  <c:v>76.699999999999989</c:v>
                </c:pt>
                <c:pt idx="21">
                  <c:v>79.949999999999989</c:v>
                </c:pt>
                <c:pt idx="22">
                  <c:v>76.699999999999989</c:v>
                </c:pt>
                <c:pt idx="24">
                  <c:v>76.699999999999989</c:v>
                </c:pt>
                <c:pt idx="25">
                  <c:v>76.699999999999989</c:v>
                </c:pt>
                <c:pt idx="27">
                  <c:v>75.799999999999983</c:v>
                </c:pt>
                <c:pt idx="28">
                  <c:v>75.799999999999983</c:v>
                </c:pt>
                <c:pt idx="30">
                  <c:v>74.899999999999991</c:v>
                </c:pt>
                <c:pt idx="31">
                  <c:v>74.899999999999991</c:v>
                </c:pt>
                <c:pt idx="33">
                  <c:v>74.899999999999991</c:v>
                </c:pt>
                <c:pt idx="34">
                  <c:v>71.649999999999991</c:v>
                </c:pt>
                <c:pt idx="36">
                  <c:v>74.899999999999991</c:v>
                </c:pt>
                <c:pt idx="37">
                  <c:v>68.399999999999991</c:v>
                </c:pt>
                <c:pt idx="39">
                  <c:v>74.899999999999991</c:v>
                </c:pt>
                <c:pt idx="40">
                  <c:v>68.399999999999991</c:v>
                </c:pt>
                <c:pt idx="42">
                  <c:v>68.399999999999991</c:v>
                </c:pt>
                <c:pt idx="43">
                  <c:v>74.899999999999991</c:v>
                </c:pt>
                <c:pt idx="45">
                  <c:v>68.399999999999991</c:v>
                </c:pt>
                <c:pt idx="46">
                  <c:v>74.899999999999991</c:v>
                </c:pt>
                <c:pt idx="48">
                  <c:v>68.399999999999991</c:v>
                </c:pt>
                <c:pt idx="49">
                  <c:v>74.899999999999991</c:v>
                </c:pt>
                <c:pt idx="51">
                  <c:v>68.399999999999991</c:v>
                </c:pt>
                <c:pt idx="52">
                  <c:v>71.649999999999991</c:v>
                </c:pt>
                <c:pt idx="54">
                  <c:v>68.399999999999991</c:v>
                </c:pt>
                <c:pt idx="55">
                  <c:v>68.399999999999991</c:v>
                </c:pt>
                <c:pt idx="57">
                  <c:v>66.599999999999994</c:v>
                </c:pt>
                <c:pt idx="58">
                  <c:v>66.599999999999994</c:v>
                </c:pt>
                <c:pt idx="60">
                  <c:v>54.55</c:v>
                </c:pt>
                <c:pt idx="61">
                  <c:v>66.599999999999994</c:v>
                </c:pt>
                <c:pt idx="63">
                  <c:v>42.5</c:v>
                </c:pt>
                <c:pt idx="64">
                  <c:v>66.599999999999994</c:v>
                </c:pt>
                <c:pt idx="66">
                  <c:v>42.5</c:v>
                </c:pt>
                <c:pt idx="67">
                  <c:v>66.599999999999994</c:v>
                </c:pt>
                <c:pt idx="69">
                  <c:v>42.5</c:v>
                </c:pt>
                <c:pt idx="70">
                  <c:v>66.599999999999994</c:v>
                </c:pt>
                <c:pt idx="72">
                  <c:v>42.5</c:v>
                </c:pt>
                <c:pt idx="73">
                  <c:v>66.599999999999994</c:v>
                </c:pt>
              </c:numCache>
            </c:numRef>
          </c:xVal>
          <c:yVal>
            <c:numRef>
              <c:f>Path!$G$19:$G$93</c:f>
              <c:numCache>
                <c:formatCode>0.0</c:formatCode>
                <c:ptCount val="75"/>
                <c:pt idx="0">
                  <c:v>8.3000000000000007</c:v>
                </c:pt>
                <c:pt idx="1">
                  <c:v>1.8</c:v>
                </c:pt>
                <c:pt idx="3">
                  <c:v>8.3000000000000007</c:v>
                </c:pt>
                <c:pt idx="4">
                  <c:v>1.8</c:v>
                </c:pt>
                <c:pt idx="6">
                  <c:v>8.3000000000000007</c:v>
                </c:pt>
                <c:pt idx="7">
                  <c:v>1.8</c:v>
                </c:pt>
                <c:pt idx="9">
                  <c:v>8.3000000000000007</c:v>
                </c:pt>
                <c:pt idx="10">
                  <c:v>5.0500000000000007</c:v>
                </c:pt>
                <c:pt idx="12">
                  <c:v>8.3000000000000007</c:v>
                </c:pt>
                <c:pt idx="13">
                  <c:v>8.3000000000000007</c:v>
                </c:pt>
                <c:pt idx="15">
                  <c:v>76.700000000000017</c:v>
                </c:pt>
                <c:pt idx="16">
                  <c:v>76.700000000000017</c:v>
                </c:pt>
                <c:pt idx="18">
                  <c:v>79.950000000000017</c:v>
                </c:pt>
                <c:pt idx="19">
                  <c:v>76.700000000000017</c:v>
                </c:pt>
                <c:pt idx="21">
                  <c:v>83.2</c:v>
                </c:pt>
                <c:pt idx="22">
                  <c:v>76.700000000000017</c:v>
                </c:pt>
                <c:pt idx="24">
                  <c:v>83.2</c:v>
                </c:pt>
                <c:pt idx="25">
                  <c:v>76.700000000000017</c:v>
                </c:pt>
                <c:pt idx="27">
                  <c:v>76.700000000000017</c:v>
                </c:pt>
                <c:pt idx="28">
                  <c:v>83.2</c:v>
                </c:pt>
                <c:pt idx="30">
                  <c:v>76.700000000000017</c:v>
                </c:pt>
                <c:pt idx="31">
                  <c:v>83.2</c:v>
                </c:pt>
                <c:pt idx="33">
                  <c:v>76.700000000000017</c:v>
                </c:pt>
                <c:pt idx="34">
                  <c:v>83.2</c:v>
                </c:pt>
                <c:pt idx="36">
                  <c:v>76.700000000000017</c:v>
                </c:pt>
                <c:pt idx="37">
                  <c:v>79.950000000000017</c:v>
                </c:pt>
                <c:pt idx="39">
                  <c:v>76.700000000000017</c:v>
                </c:pt>
                <c:pt idx="40">
                  <c:v>76.700000000000017</c:v>
                </c:pt>
                <c:pt idx="42">
                  <c:v>50.10160691443042</c:v>
                </c:pt>
                <c:pt idx="43">
                  <c:v>50.10160691443042</c:v>
                </c:pt>
                <c:pt idx="45">
                  <c:v>23.503213828860829</c:v>
                </c:pt>
                <c:pt idx="46">
                  <c:v>23.503213828860829</c:v>
                </c:pt>
                <c:pt idx="48">
                  <c:v>23.503213828860829</c:v>
                </c:pt>
                <c:pt idx="49">
                  <c:v>16.801606914430415</c:v>
                </c:pt>
                <c:pt idx="51">
                  <c:v>23.503213828860829</c:v>
                </c:pt>
                <c:pt idx="52">
                  <c:v>10.100000000000001</c:v>
                </c:pt>
                <c:pt idx="54">
                  <c:v>23.503213828860829</c:v>
                </c:pt>
                <c:pt idx="55">
                  <c:v>10.100000000000001</c:v>
                </c:pt>
                <c:pt idx="57">
                  <c:v>23.503213828860829</c:v>
                </c:pt>
                <c:pt idx="58">
                  <c:v>10.100000000000001</c:v>
                </c:pt>
                <c:pt idx="60">
                  <c:v>10.100000000000001</c:v>
                </c:pt>
                <c:pt idx="61">
                  <c:v>23.503213828860829</c:v>
                </c:pt>
                <c:pt idx="63">
                  <c:v>16.801606914430415</c:v>
                </c:pt>
                <c:pt idx="64">
                  <c:v>23.503213828860829</c:v>
                </c:pt>
                <c:pt idx="66">
                  <c:v>23.503213828860829</c:v>
                </c:pt>
                <c:pt idx="67">
                  <c:v>23.503213828860829</c:v>
                </c:pt>
                <c:pt idx="69">
                  <c:v>54.251606914430411</c:v>
                </c:pt>
                <c:pt idx="70">
                  <c:v>54.251606914430411</c:v>
                </c:pt>
                <c:pt idx="72">
                  <c:v>85</c:v>
                </c:pt>
                <c:pt idx="73">
                  <c:v>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307-475C-B04E-E376ACD34D65}"/>
            </c:ext>
          </c:extLst>
        </c:ser>
        <c:ser>
          <c:idx val="6"/>
          <c:order val="2"/>
          <c:tx>
            <c:v>Driver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Panels!$F$98:$F$113</c:f>
              <c:numCache>
                <c:formatCode>0.0</c:formatCode>
                <c:ptCount val="16"/>
                <c:pt idx="0">
                  <c:v>65.849999999999994</c:v>
                </c:pt>
                <c:pt idx="1">
                  <c:v>42.499999999999993</c:v>
                </c:pt>
                <c:pt idx="2">
                  <c:v>42.499999999999993</c:v>
                </c:pt>
                <c:pt idx="3">
                  <c:v>54.499999999999993</c:v>
                </c:pt>
                <c:pt idx="4">
                  <c:v>54.499999999999993</c:v>
                </c:pt>
                <c:pt idx="5">
                  <c:v>63.599999999999994</c:v>
                </c:pt>
                <c:pt idx="7">
                  <c:v>19.149999999999991</c:v>
                </c:pt>
                <c:pt idx="8">
                  <c:v>42.499999999999993</c:v>
                </c:pt>
                <c:pt idx="9">
                  <c:v>42.499999999999993</c:v>
                </c:pt>
                <c:pt idx="10">
                  <c:v>30.499999999999993</c:v>
                </c:pt>
                <c:pt idx="11">
                  <c:v>30.499999999999993</c:v>
                </c:pt>
                <c:pt idx="12">
                  <c:v>21.399999999999991</c:v>
                </c:pt>
                <c:pt idx="14">
                  <c:v>30.499999999999993</c:v>
                </c:pt>
                <c:pt idx="15">
                  <c:v>54.499999999999993</c:v>
                </c:pt>
              </c:numCache>
            </c:numRef>
          </c:xVal>
          <c:yVal>
            <c:numRef>
              <c:f>Panels!$G$98:$G$113</c:f>
              <c:numCache>
                <c:formatCode>0.0</c:formatCode>
                <c:ptCount val="16"/>
                <c:pt idx="0">
                  <c:v>10.100000000000001</c:v>
                </c:pt>
                <c:pt idx="1">
                  <c:v>10.100000000000001</c:v>
                </c:pt>
                <c:pt idx="2">
                  <c:v>31</c:v>
                </c:pt>
                <c:pt idx="3">
                  <c:v>31</c:v>
                </c:pt>
                <c:pt idx="4">
                  <c:v>25</c:v>
                </c:pt>
                <c:pt idx="5">
                  <c:v>10.100000000000001</c:v>
                </c:pt>
                <c:pt idx="7">
                  <c:v>10.100000000000001</c:v>
                </c:pt>
                <c:pt idx="8">
                  <c:v>10.100000000000001</c:v>
                </c:pt>
                <c:pt idx="9">
                  <c:v>31</c:v>
                </c:pt>
                <c:pt idx="10">
                  <c:v>31</c:v>
                </c:pt>
                <c:pt idx="11">
                  <c:v>25</c:v>
                </c:pt>
                <c:pt idx="12">
                  <c:v>10.100000000000001</c:v>
                </c:pt>
                <c:pt idx="14">
                  <c:v>25</c:v>
                </c:pt>
                <c:pt idx="15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307-475C-B04E-E376ACD34D65}"/>
            </c:ext>
          </c:extLst>
        </c:ser>
        <c:ser>
          <c:idx val="2"/>
          <c:order val="3"/>
          <c:tx>
            <c:v>Adv Centerline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noFill/>
                <a:prstDash val="solid"/>
              </a:ln>
            </c:spPr>
          </c:marker>
          <c:xVal>
            <c:numRef>
              <c:f>Path!$J$19:$J$93</c:f>
              <c:numCache>
                <c:formatCode>0.0</c:formatCode>
                <c:ptCount val="75"/>
                <c:pt idx="0">
                  <c:v>43.4</c:v>
                </c:pt>
                <c:pt idx="1">
                  <c:v>43.4</c:v>
                </c:pt>
                <c:pt idx="2">
                  <c:v>43.4</c:v>
                </c:pt>
                <c:pt idx="3">
                  <c:v>76.699999999999989</c:v>
                </c:pt>
                <c:pt idx="4">
                  <c:v>76.699999999999989</c:v>
                </c:pt>
                <c:pt idx="5">
                  <c:v>76.699999999999989</c:v>
                </c:pt>
                <c:pt idx="6">
                  <c:v>78.324999999999989</c:v>
                </c:pt>
                <c:pt idx="7">
                  <c:v>78.324999999999989</c:v>
                </c:pt>
                <c:pt idx="8">
                  <c:v>78.324999999999989</c:v>
                </c:pt>
                <c:pt idx="9">
                  <c:v>79.949999999999989</c:v>
                </c:pt>
                <c:pt idx="10">
                  <c:v>79.949999999999989</c:v>
                </c:pt>
                <c:pt idx="11">
                  <c:v>79.949999999999989</c:v>
                </c:pt>
                <c:pt idx="12">
                  <c:v>79.949999999999989</c:v>
                </c:pt>
                <c:pt idx="13">
                  <c:v>79.949999999999989</c:v>
                </c:pt>
                <c:pt idx="14">
                  <c:v>79.949999999999989</c:v>
                </c:pt>
                <c:pt idx="15">
                  <c:v>79.949999999999989</c:v>
                </c:pt>
                <c:pt idx="16">
                  <c:v>79.949999999999989</c:v>
                </c:pt>
                <c:pt idx="17">
                  <c:v>79.949999999999989</c:v>
                </c:pt>
                <c:pt idx="18">
                  <c:v>79.949999999999989</c:v>
                </c:pt>
                <c:pt idx="19">
                  <c:v>79.949999999999989</c:v>
                </c:pt>
                <c:pt idx="20">
                  <c:v>79.949999999999989</c:v>
                </c:pt>
                <c:pt idx="21">
                  <c:v>78.324999999999989</c:v>
                </c:pt>
                <c:pt idx="22">
                  <c:v>78.324999999999989</c:v>
                </c:pt>
                <c:pt idx="23">
                  <c:v>78.324999999999989</c:v>
                </c:pt>
                <c:pt idx="24">
                  <c:v>76.699999999999989</c:v>
                </c:pt>
                <c:pt idx="25">
                  <c:v>76.699999999999989</c:v>
                </c:pt>
                <c:pt idx="26">
                  <c:v>76.699999999999989</c:v>
                </c:pt>
                <c:pt idx="27">
                  <c:v>75.799999999999983</c:v>
                </c:pt>
                <c:pt idx="28">
                  <c:v>75.799999999999983</c:v>
                </c:pt>
                <c:pt idx="29">
                  <c:v>75.799999999999983</c:v>
                </c:pt>
                <c:pt idx="30">
                  <c:v>74.899999999999991</c:v>
                </c:pt>
                <c:pt idx="31">
                  <c:v>74.899999999999991</c:v>
                </c:pt>
                <c:pt idx="32">
                  <c:v>74.899999999999991</c:v>
                </c:pt>
                <c:pt idx="33">
                  <c:v>73.274999999999991</c:v>
                </c:pt>
                <c:pt idx="34">
                  <c:v>73.274999999999991</c:v>
                </c:pt>
                <c:pt idx="35">
                  <c:v>73.274999999999991</c:v>
                </c:pt>
                <c:pt idx="36">
                  <c:v>71.649999999999991</c:v>
                </c:pt>
                <c:pt idx="37">
                  <c:v>71.649999999999991</c:v>
                </c:pt>
                <c:pt idx="38">
                  <c:v>71.649999999999991</c:v>
                </c:pt>
                <c:pt idx="39">
                  <c:v>71.649999999999991</c:v>
                </c:pt>
                <c:pt idx="40">
                  <c:v>71.649999999999991</c:v>
                </c:pt>
                <c:pt idx="41">
                  <c:v>71.649999999999991</c:v>
                </c:pt>
                <c:pt idx="42">
                  <c:v>71.649999999999991</c:v>
                </c:pt>
                <c:pt idx="43">
                  <c:v>71.649999999999991</c:v>
                </c:pt>
                <c:pt idx="44">
                  <c:v>71.649999999999991</c:v>
                </c:pt>
                <c:pt idx="45">
                  <c:v>71.649999999999991</c:v>
                </c:pt>
                <c:pt idx="46">
                  <c:v>71.649999999999991</c:v>
                </c:pt>
                <c:pt idx="47">
                  <c:v>71.649999999999991</c:v>
                </c:pt>
                <c:pt idx="48">
                  <c:v>71.649999999999991</c:v>
                </c:pt>
                <c:pt idx="49">
                  <c:v>71.649999999999991</c:v>
                </c:pt>
                <c:pt idx="50">
                  <c:v>71.649999999999991</c:v>
                </c:pt>
                <c:pt idx="51">
                  <c:v>70.024999999999991</c:v>
                </c:pt>
                <c:pt idx="52">
                  <c:v>70.024999999999991</c:v>
                </c:pt>
                <c:pt idx="53">
                  <c:v>70.024999999999991</c:v>
                </c:pt>
                <c:pt idx="54">
                  <c:v>68.399999999999991</c:v>
                </c:pt>
                <c:pt idx="55">
                  <c:v>68.399999999999991</c:v>
                </c:pt>
                <c:pt idx="56">
                  <c:v>68.399999999999991</c:v>
                </c:pt>
                <c:pt idx="57">
                  <c:v>66.599999999999994</c:v>
                </c:pt>
                <c:pt idx="58">
                  <c:v>66.599999999999994</c:v>
                </c:pt>
                <c:pt idx="59">
                  <c:v>66.599999999999994</c:v>
                </c:pt>
                <c:pt idx="60">
                  <c:v>60.574999999999996</c:v>
                </c:pt>
                <c:pt idx="61">
                  <c:v>60.574999999999996</c:v>
                </c:pt>
                <c:pt idx="62">
                  <c:v>60.574999999999996</c:v>
                </c:pt>
                <c:pt idx="63">
                  <c:v>54.55</c:v>
                </c:pt>
                <c:pt idx="64">
                  <c:v>54.55</c:v>
                </c:pt>
                <c:pt idx="65">
                  <c:v>54.55</c:v>
                </c:pt>
                <c:pt idx="66">
                  <c:v>54.55</c:v>
                </c:pt>
                <c:pt idx="67">
                  <c:v>54.55</c:v>
                </c:pt>
                <c:pt idx="68">
                  <c:v>54.55</c:v>
                </c:pt>
                <c:pt idx="69">
                  <c:v>54.55</c:v>
                </c:pt>
                <c:pt idx="70">
                  <c:v>54.55</c:v>
                </c:pt>
                <c:pt idx="71">
                  <c:v>54.55</c:v>
                </c:pt>
                <c:pt idx="72">
                  <c:v>54.55</c:v>
                </c:pt>
                <c:pt idx="73">
                  <c:v>54.55</c:v>
                </c:pt>
                <c:pt idx="74">
                  <c:v>54.55</c:v>
                </c:pt>
              </c:numCache>
            </c:numRef>
          </c:xVal>
          <c:yVal>
            <c:numRef>
              <c:f>Path!$K$19:$K$93</c:f>
              <c:numCache>
                <c:formatCode>0.0</c:formatCode>
                <c:ptCount val="75"/>
                <c:pt idx="0">
                  <c:v>5.0500000000000007</c:v>
                </c:pt>
                <c:pt idx="1">
                  <c:v>5.0500000000000007</c:v>
                </c:pt>
                <c:pt idx="2">
                  <c:v>5.0500000000000007</c:v>
                </c:pt>
                <c:pt idx="3">
                  <c:v>5.0500000000000007</c:v>
                </c:pt>
                <c:pt idx="4">
                  <c:v>5.0500000000000007</c:v>
                </c:pt>
                <c:pt idx="5">
                  <c:v>5.0500000000000007</c:v>
                </c:pt>
                <c:pt idx="6">
                  <c:v>5.0500000000000007</c:v>
                </c:pt>
                <c:pt idx="7">
                  <c:v>5.0500000000000007</c:v>
                </c:pt>
                <c:pt idx="8">
                  <c:v>5.0500000000000007</c:v>
                </c:pt>
                <c:pt idx="9">
                  <c:v>6.6750000000000007</c:v>
                </c:pt>
                <c:pt idx="10">
                  <c:v>6.6750000000000007</c:v>
                </c:pt>
                <c:pt idx="11">
                  <c:v>6.6750000000000007</c:v>
                </c:pt>
                <c:pt idx="12">
                  <c:v>8.3000000000000007</c:v>
                </c:pt>
                <c:pt idx="13">
                  <c:v>8.3000000000000007</c:v>
                </c:pt>
                <c:pt idx="14">
                  <c:v>8.3000000000000007</c:v>
                </c:pt>
                <c:pt idx="15">
                  <c:v>76.700000000000017</c:v>
                </c:pt>
                <c:pt idx="16">
                  <c:v>76.700000000000017</c:v>
                </c:pt>
                <c:pt idx="17">
                  <c:v>76.700000000000017</c:v>
                </c:pt>
                <c:pt idx="18">
                  <c:v>78.325000000000017</c:v>
                </c:pt>
                <c:pt idx="19">
                  <c:v>78.325000000000017</c:v>
                </c:pt>
                <c:pt idx="20">
                  <c:v>78.325000000000017</c:v>
                </c:pt>
                <c:pt idx="21">
                  <c:v>79.950000000000017</c:v>
                </c:pt>
                <c:pt idx="22">
                  <c:v>79.950000000000017</c:v>
                </c:pt>
                <c:pt idx="23">
                  <c:v>79.950000000000017</c:v>
                </c:pt>
                <c:pt idx="24">
                  <c:v>79.950000000000017</c:v>
                </c:pt>
                <c:pt idx="25">
                  <c:v>79.950000000000017</c:v>
                </c:pt>
                <c:pt idx="26">
                  <c:v>79.950000000000017</c:v>
                </c:pt>
                <c:pt idx="27">
                  <c:v>79.950000000000017</c:v>
                </c:pt>
                <c:pt idx="28">
                  <c:v>79.950000000000017</c:v>
                </c:pt>
                <c:pt idx="29">
                  <c:v>79.950000000000017</c:v>
                </c:pt>
                <c:pt idx="30">
                  <c:v>79.950000000000017</c:v>
                </c:pt>
                <c:pt idx="31">
                  <c:v>79.950000000000017</c:v>
                </c:pt>
                <c:pt idx="32">
                  <c:v>79.950000000000017</c:v>
                </c:pt>
                <c:pt idx="33">
                  <c:v>79.950000000000017</c:v>
                </c:pt>
                <c:pt idx="34">
                  <c:v>79.950000000000017</c:v>
                </c:pt>
                <c:pt idx="35">
                  <c:v>79.950000000000017</c:v>
                </c:pt>
                <c:pt idx="36">
                  <c:v>78.325000000000017</c:v>
                </c:pt>
                <c:pt idx="37">
                  <c:v>78.325000000000017</c:v>
                </c:pt>
                <c:pt idx="38">
                  <c:v>78.325000000000017</c:v>
                </c:pt>
                <c:pt idx="39">
                  <c:v>76.700000000000017</c:v>
                </c:pt>
                <c:pt idx="40">
                  <c:v>76.700000000000017</c:v>
                </c:pt>
                <c:pt idx="41">
                  <c:v>76.700000000000017</c:v>
                </c:pt>
                <c:pt idx="42">
                  <c:v>50.10160691443042</c:v>
                </c:pt>
                <c:pt idx="43">
                  <c:v>50.10160691443042</c:v>
                </c:pt>
                <c:pt idx="44">
                  <c:v>50.10160691443042</c:v>
                </c:pt>
                <c:pt idx="45">
                  <c:v>23.503213828860829</c:v>
                </c:pt>
                <c:pt idx="46">
                  <c:v>23.503213828860829</c:v>
                </c:pt>
                <c:pt idx="47">
                  <c:v>23.503213828860829</c:v>
                </c:pt>
                <c:pt idx="48">
                  <c:v>20.152410371645622</c:v>
                </c:pt>
                <c:pt idx="49">
                  <c:v>20.152410371645622</c:v>
                </c:pt>
                <c:pt idx="50">
                  <c:v>20.152410371645622</c:v>
                </c:pt>
                <c:pt idx="51">
                  <c:v>16.801606914430415</c:v>
                </c:pt>
                <c:pt idx="52">
                  <c:v>16.801606914430415</c:v>
                </c:pt>
                <c:pt idx="53">
                  <c:v>16.801606914430415</c:v>
                </c:pt>
                <c:pt idx="54">
                  <c:v>16.801606914430415</c:v>
                </c:pt>
                <c:pt idx="55">
                  <c:v>16.801606914430415</c:v>
                </c:pt>
                <c:pt idx="56">
                  <c:v>16.801606914430415</c:v>
                </c:pt>
                <c:pt idx="57">
                  <c:v>16.801606914430415</c:v>
                </c:pt>
                <c:pt idx="58">
                  <c:v>16.801606914430415</c:v>
                </c:pt>
                <c:pt idx="59">
                  <c:v>16.801606914430415</c:v>
                </c:pt>
                <c:pt idx="60">
                  <c:v>16.801606914430415</c:v>
                </c:pt>
                <c:pt idx="61">
                  <c:v>16.801606914430415</c:v>
                </c:pt>
                <c:pt idx="62">
                  <c:v>16.801606914430415</c:v>
                </c:pt>
                <c:pt idx="63">
                  <c:v>20.152410371645622</c:v>
                </c:pt>
                <c:pt idx="64">
                  <c:v>20.152410371645622</c:v>
                </c:pt>
                <c:pt idx="65">
                  <c:v>20.152410371645622</c:v>
                </c:pt>
                <c:pt idx="66">
                  <c:v>23.503213828860829</c:v>
                </c:pt>
                <c:pt idx="67">
                  <c:v>23.503213828860829</c:v>
                </c:pt>
                <c:pt idx="68">
                  <c:v>23.503213828860829</c:v>
                </c:pt>
                <c:pt idx="69">
                  <c:v>54.251606914430411</c:v>
                </c:pt>
                <c:pt idx="70">
                  <c:v>54.251606914430411</c:v>
                </c:pt>
                <c:pt idx="71">
                  <c:v>54.251606914430411</c:v>
                </c:pt>
                <c:pt idx="72">
                  <c:v>85</c:v>
                </c:pt>
                <c:pt idx="73">
                  <c:v>85</c:v>
                </c:pt>
                <c:pt idx="74">
                  <c:v>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307-475C-B04E-E376ACD34D65}"/>
            </c:ext>
          </c:extLst>
        </c:ser>
        <c:ser>
          <c:idx val="0"/>
          <c:order val="4"/>
          <c:tx>
            <c:v>Axes</c:v>
          </c:tx>
          <c:spPr>
            <a:ln w="0"/>
          </c:spPr>
          <c:marker>
            <c:symbol val="none"/>
          </c:marker>
          <c:xVal>
            <c:numRef>
              <c:f>Panels!$F$84:$F$88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85</c:v>
                </c:pt>
              </c:numCache>
            </c:numRef>
          </c:xVal>
          <c:yVal>
            <c:numRef>
              <c:f>Panels!$G$84:$G$88</c:f>
              <c:numCache>
                <c:formatCode>0.0</c:formatCode>
                <c:ptCount val="5"/>
                <c:pt idx="0">
                  <c:v>0</c:v>
                </c:pt>
                <c:pt idx="1">
                  <c:v>85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307-475C-B04E-E376ACD34D65}"/>
            </c:ext>
          </c:extLst>
        </c:ser>
        <c:ser>
          <c:idx val="3"/>
          <c:order val="5"/>
          <c:tx>
            <c:v>Center</c:v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xVal>
            <c:numRef>
              <c:f>Panels!$F$81:$F$82</c:f>
              <c:numCache>
                <c:formatCode>0.0</c:formatCode>
                <c:ptCount val="2"/>
                <c:pt idx="0">
                  <c:v>42.5</c:v>
                </c:pt>
                <c:pt idx="1">
                  <c:v>42.5</c:v>
                </c:pt>
              </c:numCache>
            </c:numRef>
          </c:xVal>
          <c:yVal>
            <c:numRef>
              <c:f>Panels!$G$81:$G$82</c:f>
              <c:numCache>
                <c:formatCode>0.0</c:formatCode>
                <c:ptCount val="2"/>
                <c:pt idx="0">
                  <c:v>10.100000000000001</c:v>
                </c:pt>
                <c:pt idx="1">
                  <c:v>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307-475C-B04E-E376ACD34D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9902424"/>
        <c:axId val="1"/>
      </c:scatterChart>
      <c:valAx>
        <c:axId val="319902424"/>
        <c:scaling>
          <c:orientation val="minMax"/>
          <c:min val="0"/>
        </c:scaling>
        <c:delete val="0"/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029"/>
                  <a:t>Width</a:t>
                </a:r>
              </a:p>
            </c:rich>
          </c:tx>
          <c:layout>
            <c:manualLayout>
              <c:xMode val="edge"/>
              <c:yMode val="edge"/>
              <c:x val="0.51388980023330422"/>
              <c:y val="0.9353680430879712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min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029"/>
                  <a:t>Depth</a:t>
                </a:r>
              </a:p>
            </c:rich>
          </c:tx>
          <c:layout>
            <c:manualLayout>
              <c:xMode val="edge"/>
              <c:yMode val="edge"/>
              <c:x val="2.7777777777777776E-2"/>
              <c:y val="0.4236983842010771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9902424"/>
        <c:crosses val="autoZero"/>
        <c:crossBetween val="midCat"/>
      </c:valAx>
      <c:spPr>
        <a:noFill/>
        <a:ln w="12700">
          <a:solidFill>
            <a:srgbClr val="000000"/>
          </a:solidFill>
          <a:prstDash val="sysDash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4" verticalDpi="0"/>
  </c:printSettings>
</c:chartSpac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314325</xdr:colOff>
      <xdr:row>39</xdr:row>
      <xdr:rowOff>9525</xdr:rowOff>
    </xdr:from>
    <xdr:to>
      <xdr:col>29</xdr:col>
      <xdr:colOff>9525</xdr:colOff>
      <xdr:row>61</xdr:row>
      <xdr:rowOff>123825</xdr:rowOff>
    </xdr:to>
    <xdr:graphicFrame macro="">
      <xdr:nvGraphicFramePr>
        <xdr:cNvPr id="11305" name="Chart 5">
          <a:extLst>
            <a:ext uri="{FF2B5EF4-FFF2-40B4-BE49-F238E27FC236}">
              <a16:creationId xmlns:a16="http://schemas.microsoft.com/office/drawing/2014/main" id="{00000000-0008-0000-0000-0000292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9525</xdr:colOff>
      <xdr:row>3</xdr:row>
      <xdr:rowOff>0</xdr:rowOff>
    </xdr:from>
    <xdr:to>
      <xdr:col>29</xdr:col>
      <xdr:colOff>19050</xdr:colOff>
      <xdr:row>38</xdr:row>
      <xdr:rowOff>9525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50</xdr:row>
          <xdr:rowOff>104775</xdr:rowOff>
        </xdr:from>
        <xdr:to>
          <xdr:col>12</xdr:col>
          <xdr:colOff>819150</xdr:colOff>
          <xdr:row>53</xdr:row>
          <xdr:rowOff>85725</xdr:rowOff>
        </xdr:to>
        <xdr:sp macro="" textlink="">
          <xdr:nvSpPr>
            <xdr:cNvPr id="11323" name="Button 59" hidden="1">
              <a:extLst>
                <a:ext uri="{63B3BB69-23CF-44E3-9099-C40C66FF867C}">
                  <a14:compatExt spid="_x0000_s11323"/>
                </a:ext>
                <a:ext uri="{FF2B5EF4-FFF2-40B4-BE49-F238E27FC236}">
                  <a16:creationId xmlns:a16="http://schemas.microsoft.com/office/drawing/2014/main" id="{00000000-0008-0000-0000-00003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029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Export!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22</xdr:row>
          <xdr:rowOff>47625</xdr:rowOff>
        </xdr:from>
        <xdr:to>
          <xdr:col>13</xdr:col>
          <xdr:colOff>19050</xdr:colOff>
          <xdr:row>26</xdr:row>
          <xdr:rowOff>76200</xdr:rowOff>
        </xdr:to>
        <xdr:sp macro="" textlink="">
          <xdr:nvSpPr>
            <xdr:cNvPr id="11324" name="Button 60" hidden="1">
              <a:extLst>
                <a:ext uri="{63B3BB69-23CF-44E3-9099-C40C66FF867C}">
                  <a14:compatExt spid="_x0000_s11324"/>
                </a:ext>
                <a:ext uri="{FF2B5EF4-FFF2-40B4-BE49-F238E27FC236}">
                  <a16:creationId xmlns:a16="http://schemas.microsoft.com/office/drawing/2014/main" id="{00000000-0008-0000-0000-00003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029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Optimize!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447676</xdr:colOff>
      <xdr:row>8</xdr:row>
      <xdr:rowOff>19050</xdr:rowOff>
    </xdr:from>
    <xdr:to>
      <xdr:col>24</xdr:col>
      <xdr:colOff>285750</xdr:colOff>
      <xdr:row>40</xdr:row>
      <xdr:rowOff>95250</xdr:rowOff>
    </xdr:to>
    <xdr:graphicFrame macro="">
      <xdr:nvGraphicFramePr>
        <xdr:cNvPr id="2" name="Chart 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19050</xdr:colOff>
      <xdr:row>57</xdr:row>
      <xdr:rowOff>0</xdr:rowOff>
    </xdr:from>
    <xdr:to>
      <xdr:col>36</xdr:col>
      <xdr:colOff>47625</xdr:colOff>
      <xdr:row>92</xdr:row>
      <xdr:rowOff>28575</xdr:rowOff>
    </xdr:to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23</xdr:col>
      <xdr:colOff>19050</xdr:colOff>
      <xdr:row>15</xdr:row>
      <xdr:rowOff>0</xdr:rowOff>
    </xdr:from>
    <xdr:to>
      <xdr:col>32</xdr:col>
      <xdr:colOff>19050</xdr:colOff>
      <xdr:row>53</xdr:row>
      <xdr:rowOff>57150</xdr:rowOff>
    </xdr:to>
    <xdr:graphicFrame macro="">
      <xdr:nvGraphicFramePr>
        <xdr:cNvPr id="4" name="Chart 6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U345"/>
  <sheetViews>
    <sheetView showGridLines="0" workbookViewId="0">
      <selection activeCell="D17" sqref="D17"/>
    </sheetView>
  </sheetViews>
  <sheetFormatPr defaultRowHeight="11.25" x14ac:dyDescent="0.2"/>
  <cols>
    <col min="1" max="1" width="2.140625" style="12" bestFit="1" customWidth="1"/>
    <col min="2" max="2" width="15" style="12" bestFit="1" customWidth="1"/>
    <col min="3" max="3" width="1.85546875" style="12" bestFit="1" customWidth="1"/>
    <col min="4" max="4" width="5.85546875" style="12" bestFit="1" customWidth="1"/>
    <col min="5" max="5" width="6.140625" style="12" customWidth="1"/>
    <col min="6" max="6" width="5.7109375" style="12" customWidth="1"/>
    <col min="7" max="7" width="4.5703125" style="12" customWidth="1"/>
    <col min="8" max="8" width="5.85546875" style="12" bestFit="1" customWidth="1"/>
    <col min="9" max="9" width="5.42578125" style="12" bestFit="1" customWidth="1"/>
    <col min="10" max="10" width="6.42578125" style="12" bestFit="1" customWidth="1"/>
    <col min="11" max="11" width="5.140625" style="12" customWidth="1"/>
    <col min="12" max="12" width="9.7109375" style="12" bestFit="1" customWidth="1"/>
    <col min="13" max="13" width="12.42578125" style="12" customWidth="1"/>
    <col min="14" max="14" width="4.85546875" style="12" bestFit="1" customWidth="1"/>
    <col min="15" max="15" width="3.7109375" style="12" bestFit="1" customWidth="1"/>
    <col min="16" max="17" width="4" style="12" bestFit="1" customWidth="1"/>
    <col min="18" max="18" width="10.42578125" style="12" bestFit="1" customWidth="1"/>
    <col min="19" max="19" width="3.7109375" style="12" bestFit="1" customWidth="1"/>
    <col min="20" max="21" width="4" style="12" bestFit="1" customWidth="1"/>
    <col min="22" max="22" width="5.7109375" style="12" bestFit="1" customWidth="1"/>
    <col min="23" max="24" width="4.85546875" style="12" bestFit="1" customWidth="1"/>
    <col min="25" max="25" width="5.7109375" style="12" bestFit="1" customWidth="1"/>
    <col min="26" max="26" width="4.85546875" style="12" bestFit="1" customWidth="1"/>
    <col min="27" max="28" width="9.85546875" style="12" customWidth="1"/>
    <col min="29" max="31" width="2.5703125" style="12" customWidth="1"/>
    <col min="32" max="32" width="17.85546875" style="12" bestFit="1" customWidth="1"/>
    <col min="33" max="33" width="2.7109375" style="12" bestFit="1" customWidth="1"/>
    <col min="34" max="34" width="5.28515625" style="12" bestFit="1" customWidth="1"/>
    <col min="35" max="36" width="4" style="12" bestFit="1" customWidth="1"/>
    <col min="37" max="37" width="4.85546875" style="12" bestFit="1" customWidth="1"/>
    <col min="38" max="38" width="4" style="12" bestFit="1" customWidth="1"/>
    <col min="39" max="39" width="4.42578125" style="12" bestFit="1" customWidth="1"/>
    <col min="40" max="40" width="5.42578125" style="12" bestFit="1" customWidth="1"/>
    <col min="41" max="41" width="4.5703125" style="12" bestFit="1" customWidth="1"/>
    <col min="42" max="42" width="4.85546875" style="12" bestFit="1" customWidth="1"/>
    <col min="43" max="43" width="3" style="12" bestFit="1" customWidth="1"/>
    <col min="44" max="44" width="4" style="12" bestFit="1" customWidth="1"/>
    <col min="45" max="45" width="4.85546875" style="12" bestFit="1" customWidth="1"/>
    <col min="46" max="47" width="4.42578125" style="12" bestFit="1" customWidth="1"/>
    <col min="48" max="48" width="5" style="12" bestFit="1" customWidth="1"/>
    <col min="49" max="49" width="2" style="12" bestFit="1" customWidth="1"/>
    <col min="50" max="50" width="4.42578125" style="12" bestFit="1" customWidth="1"/>
    <col min="51" max="51" width="5" style="12" bestFit="1" customWidth="1"/>
    <col min="52" max="52" width="3.7109375" style="12" bestFit="1" customWidth="1"/>
    <col min="53" max="16384" width="9.140625" style="12"/>
  </cols>
  <sheetData>
    <row r="1" spans="2:12" x14ac:dyDescent="0.2">
      <c r="B1" s="11" t="s">
        <v>64</v>
      </c>
      <c r="C1" s="11" t="s">
        <v>0</v>
      </c>
      <c r="D1" s="11">
        <v>0.3</v>
      </c>
    </row>
    <row r="3" spans="2:12" ht="12" thickBot="1" x14ac:dyDescent="0.25">
      <c r="B3" s="11" t="s">
        <v>29</v>
      </c>
    </row>
    <row r="4" spans="2:12" ht="12" thickBot="1" x14ac:dyDescent="0.25">
      <c r="B4" s="17" t="s">
        <v>32</v>
      </c>
      <c r="C4" s="18" t="s">
        <v>0</v>
      </c>
      <c r="D4" s="19">
        <v>46.7</v>
      </c>
      <c r="E4" s="12" t="s">
        <v>30</v>
      </c>
      <c r="F4" s="141">
        <f>D4/2.54</f>
        <v>18.385826771653544</v>
      </c>
      <c r="G4" s="12" t="s">
        <v>65</v>
      </c>
      <c r="I4" s="195"/>
      <c r="J4" s="20" t="s">
        <v>35</v>
      </c>
      <c r="K4" s="20"/>
      <c r="L4" s="21"/>
    </row>
    <row r="5" spans="2:12" ht="13.5" thickBot="1" x14ac:dyDescent="0.25">
      <c r="B5" s="17" t="s">
        <v>37</v>
      </c>
      <c r="C5" s="18" t="s">
        <v>0</v>
      </c>
      <c r="D5" s="19">
        <v>42.2</v>
      </c>
      <c r="E5" s="12" t="s">
        <v>30</v>
      </c>
      <c r="F5" s="141">
        <f t="shared" ref="F5:F8" si="0">D5/2.54</f>
        <v>16.614173228346459</v>
      </c>
      <c r="G5" s="12" t="s">
        <v>65</v>
      </c>
      <c r="I5" s="191" t="s">
        <v>3</v>
      </c>
      <c r="J5" s="227" t="s">
        <v>28</v>
      </c>
      <c r="K5" s="228"/>
      <c r="L5" s="229"/>
    </row>
    <row r="6" spans="2:12" ht="13.5" thickBot="1" x14ac:dyDescent="0.25">
      <c r="B6" s="17" t="s">
        <v>43</v>
      </c>
      <c r="C6" s="18" t="s">
        <v>0</v>
      </c>
      <c r="D6" s="24">
        <v>20.9</v>
      </c>
      <c r="E6" s="12" t="s">
        <v>30</v>
      </c>
      <c r="F6" s="141">
        <f t="shared" si="0"/>
        <v>8.228346456692913</v>
      </c>
      <c r="G6" s="12" t="s">
        <v>65</v>
      </c>
      <c r="I6" s="192" t="s">
        <v>3</v>
      </c>
      <c r="J6" s="233" t="s">
        <v>73</v>
      </c>
      <c r="K6" s="234"/>
      <c r="L6" s="234"/>
    </row>
    <row r="7" spans="2:12" ht="13.5" thickBot="1" x14ac:dyDescent="0.25">
      <c r="B7" s="17" t="s">
        <v>33</v>
      </c>
      <c r="C7" s="18" t="s">
        <v>0</v>
      </c>
      <c r="D7" s="19">
        <v>24</v>
      </c>
      <c r="E7" s="12" t="s">
        <v>30</v>
      </c>
      <c r="F7" s="141">
        <f t="shared" si="0"/>
        <v>9.4488188976377945</v>
      </c>
      <c r="G7" s="12" t="s">
        <v>65</v>
      </c>
      <c r="I7" s="31" t="s">
        <v>3</v>
      </c>
      <c r="J7" s="230" t="s">
        <v>29</v>
      </c>
      <c r="K7" s="231"/>
      <c r="L7" s="231"/>
    </row>
    <row r="8" spans="2:12" ht="12" thickBot="1" x14ac:dyDescent="0.25">
      <c r="B8" s="38" t="s">
        <v>34</v>
      </c>
      <c r="C8" s="39" t="s">
        <v>0</v>
      </c>
      <c r="D8" s="40">
        <v>6</v>
      </c>
      <c r="E8" s="12" t="s">
        <v>30</v>
      </c>
      <c r="F8" s="141">
        <f t="shared" si="0"/>
        <v>2.3622047244094486</v>
      </c>
      <c r="G8" s="12" t="s">
        <v>65</v>
      </c>
    </row>
    <row r="9" spans="2:12" ht="12" thickBot="1" x14ac:dyDescent="0.25"/>
    <row r="10" spans="2:12" ht="12" thickBot="1" x14ac:dyDescent="0.25">
      <c r="B10" s="11" t="s">
        <v>79</v>
      </c>
      <c r="I10" s="41"/>
      <c r="J10" s="42" t="s">
        <v>35</v>
      </c>
      <c r="K10" s="42"/>
      <c r="L10" s="43"/>
    </row>
    <row r="11" spans="2:12" ht="13.5" thickBot="1" x14ac:dyDescent="0.25">
      <c r="B11" s="17" t="s">
        <v>18</v>
      </c>
      <c r="C11" s="18" t="s">
        <v>0</v>
      </c>
      <c r="D11" s="190">
        <f>Path!D7</f>
        <v>616.20000000000005</v>
      </c>
      <c r="E11" s="12" t="s">
        <v>24</v>
      </c>
      <c r="F11" s="128">
        <f>D11/2.54^2</f>
        <v>95.51119102238205</v>
      </c>
      <c r="G11" s="12" t="s">
        <v>66</v>
      </c>
      <c r="I11" s="191" t="s">
        <v>3</v>
      </c>
      <c r="J11" s="232" t="s">
        <v>38</v>
      </c>
      <c r="K11" s="228"/>
      <c r="L11" s="229"/>
    </row>
    <row r="12" spans="2:12" ht="13.5" thickBot="1" x14ac:dyDescent="0.25">
      <c r="B12" s="17" t="s">
        <v>52</v>
      </c>
      <c r="C12" s="18" t="s">
        <v>0</v>
      </c>
      <c r="D12" s="190">
        <f>Path!D8</f>
        <v>616.20000000000005</v>
      </c>
      <c r="E12" s="12" t="s">
        <v>24</v>
      </c>
      <c r="F12" s="128">
        <f t="shared" ref="F12" si="1">D12/2.54^2</f>
        <v>95.51119102238205</v>
      </c>
      <c r="G12" s="12" t="s">
        <v>66</v>
      </c>
      <c r="I12" s="192" t="s">
        <v>3</v>
      </c>
      <c r="J12" s="216" t="s">
        <v>62</v>
      </c>
      <c r="K12" s="217"/>
      <c r="L12" s="218"/>
    </row>
    <row r="13" spans="2:12" ht="13.5" thickBot="1" x14ac:dyDescent="0.25">
      <c r="B13" s="17" t="s">
        <v>74</v>
      </c>
      <c r="C13" s="18" t="s">
        <v>0</v>
      </c>
      <c r="D13" s="190">
        <f>Path!D9</f>
        <v>616.19999999999993</v>
      </c>
      <c r="E13" s="12" t="s">
        <v>24</v>
      </c>
      <c r="F13" s="128">
        <f t="shared" ref="F13:F14" si="2">D13/2.54^2</f>
        <v>95.511191022382036</v>
      </c>
      <c r="G13" s="12" t="s">
        <v>66</v>
      </c>
      <c r="I13" s="192" t="s">
        <v>3</v>
      </c>
      <c r="J13" s="219" t="s">
        <v>39</v>
      </c>
      <c r="K13" s="217"/>
      <c r="L13" s="218"/>
    </row>
    <row r="14" spans="2:12" ht="13.5" thickBot="1" x14ac:dyDescent="0.25">
      <c r="B14" s="17" t="s">
        <v>19</v>
      </c>
      <c r="C14" s="18" t="s">
        <v>0</v>
      </c>
      <c r="D14" s="190">
        <f>Path!D10</f>
        <v>2284.6799999999994</v>
      </c>
      <c r="E14" s="12" t="s">
        <v>24</v>
      </c>
      <c r="F14" s="128">
        <f t="shared" si="2"/>
        <v>354.1261082522164</v>
      </c>
      <c r="G14" s="12" t="s">
        <v>66</v>
      </c>
      <c r="I14" s="192" t="s">
        <v>3</v>
      </c>
      <c r="J14" s="219" t="s">
        <v>40</v>
      </c>
      <c r="K14" s="217"/>
      <c r="L14" s="218"/>
    </row>
    <row r="15" spans="2:12" ht="13.5" thickBot="1" x14ac:dyDescent="0.25">
      <c r="B15" s="17" t="s">
        <v>76</v>
      </c>
      <c r="C15" s="18" t="s">
        <v>0</v>
      </c>
      <c r="D15" s="190">
        <f>Path!D11</f>
        <v>2284.6799999999994</v>
      </c>
      <c r="E15" s="12" t="s">
        <v>24</v>
      </c>
      <c r="F15" s="128">
        <f>D15/2.54^2</f>
        <v>354.1261082522164</v>
      </c>
      <c r="G15" s="12" t="s">
        <v>66</v>
      </c>
      <c r="H15" s="13"/>
      <c r="I15" s="192" t="s">
        <v>3</v>
      </c>
      <c r="J15" s="219" t="s">
        <v>46</v>
      </c>
      <c r="K15" s="217"/>
      <c r="L15" s="218"/>
    </row>
    <row r="16" spans="2:12" ht="13.5" thickBot="1" x14ac:dyDescent="0.25">
      <c r="B16" s="38" t="s">
        <v>31</v>
      </c>
      <c r="C16" s="39" t="s">
        <v>0</v>
      </c>
      <c r="D16" s="185">
        <f>Path!G8</f>
        <v>0.1</v>
      </c>
      <c r="E16" s="12" t="s">
        <v>30</v>
      </c>
      <c r="F16" s="141">
        <f t="shared" ref="F16" si="3">D16/2.54</f>
        <v>3.937007874015748E-2</v>
      </c>
      <c r="G16" s="12" t="s">
        <v>65</v>
      </c>
      <c r="I16" s="192" t="s">
        <v>3</v>
      </c>
      <c r="J16" s="219" t="s">
        <v>72</v>
      </c>
      <c r="K16" s="217"/>
      <c r="L16" s="218"/>
    </row>
    <row r="17" spans="2:13" ht="13.5" thickBot="1" x14ac:dyDescent="0.25">
      <c r="B17" s="17" t="s">
        <v>80</v>
      </c>
      <c r="C17" s="18" t="s">
        <v>0</v>
      </c>
      <c r="D17" s="49">
        <f>Path!G9</f>
        <v>173.24107728770804</v>
      </c>
      <c r="E17" s="12" t="s">
        <v>30</v>
      </c>
      <c r="F17" s="141">
        <f t="shared" ref="F17" si="4">D17/2.54</f>
        <v>68.205148538467725</v>
      </c>
      <c r="G17" s="12" t="s">
        <v>65</v>
      </c>
      <c r="I17" s="192" t="s">
        <v>3</v>
      </c>
      <c r="J17" s="194" t="s">
        <v>41</v>
      </c>
      <c r="K17" s="197"/>
      <c r="L17" s="198"/>
    </row>
    <row r="18" spans="2:13" ht="13.5" thickBot="1" x14ac:dyDescent="0.25">
      <c r="B18" s="17" t="s">
        <v>81</v>
      </c>
      <c r="C18" s="18" t="s">
        <v>0</v>
      </c>
      <c r="D18" s="49">
        <f>Path!G10</f>
        <v>26.769743910673668</v>
      </c>
      <c r="E18" s="12" t="s">
        <v>30</v>
      </c>
      <c r="F18" s="141">
        <f t="shared" ref="F18" si="5">D18/2.54</f>
        <v>10.539269256170735</v>
      </c>
      <c r="G18" s="12" t="s">
        <v>65</v>
      </c>
      <c r="I18" s="193" t="s">
        <v>3</v>
      </c>
      <c r="J18" s="196" t="s">
        <v>42</v>
      </c>
      <c r="K18" s="199"/>
      <c r="L18" s="200"/>
    </row>
    <row r="19" spans="2:13" ht="12" thickBot="1" x14ac:dyDescent="0.25">
      <c r="B19" s="17" t="s">
        <v>82</v>
      </c>
      <c r="C19" s="18" t="s">
        <v>0</v>
      </c>
      <c r="D19" s="49">
        <f>Path!G11</f>
        <v>61.496786171139149</v>
      </c>
      <c r="E19" s="12" t="s">
        <v>30</v>
      </c>
      <c r="F19" s="141">
        <f t="shared" ref="F19" si="6">D19/2.54</f>
        <v>24.211333138243759</v>
      </c>
      <c r="G19" s="12" t="s">
        <v>65</v>
      </c>
    </row>
    <row r="20" spans="2:13" ht="12" thickBot="1" x14ac:dyDescent="0.25"/>
    <row r="21" spans="2:13" ht="12" thickBot="1" x14ac:dyDescent="0.25">
      <c r="B21" s="17" t="s">
        <v>58</v>
      </c>
      <c r="C21" s="18" t="s">
        <v>0</v>
      </c>
      <c r="D21" s="19">
        <v>85</v>
      </c>
      <c r="E21" s="12" t="s">
        <v>30</v>
      </c>
      <c r="F21" s="141">
        <f>D21/2.54</f>
        <v>33.464566929133859</v>
      </c>
      <c r="G21" s="12" t="s">
        <v>65</v>
      </c>
    </row>
    <row r="22" spans="2:13" ht="12" thickBot="1" x14ac:dyDescent="0.25">
      <c r="B22" s="50" t="s">
        <v>59</v>
      </c>
      <c r="C22" s="51" t="s">
        <v>0</v>
      </c>
      <c r="D22" s="52">
        <v>51</v>
      </c>
      <c r="E22" s="12" t="s">
        <v>30</v>
      </c>
      <c r="F22" s="141">
        <f>D22/2.54</f>
        <v>20.078740157480315</v>
      </c>
      <c r="G22" s="12" t="s">
        <v>65</v>
      </c>
    </row>
    <row r="23" spans="2:13" ht="12" thickBot="1" x14ac:dyDescent="0.25">
      <c r="B23" s="17" t="s">
        <v>60</v>
      </c>
      <c r="C23" s="53" t="s">
        <v>0</v>
      </c>
      <c r="D23" s="19">
        <v>85</v>
      </c>
      <c r="E23" s="54" t="s">
        <v>30</v>
      </c>
      <c r="F23" s="141">
        <f>D23/2.54</f>
        <v>33.464566929133859</v>
      </c>
      <c r="G23" s="12" t="s">
        <v>65</v>
      </c>
    </row>
    <row r="24" spans="2:13" ht="12" thickBot="1" x14ac:dyDescent="0.25">
      <c r="F24" s="13"/>
    </row>
    <row r="25" spans="2:13" ht="12" thickBot="1" x14ac:dyDescent="0.25">
      <c r="B25" s="17" t="s">
        <v>61</v>
      </c>
      <c r="C25" s="18" t="s">
        <v>0</v>
      </c>
      <c r="D25" s="49">
        <f>D23-2*D28</f>
        <v>81.400000000000006</v>
      </c>
      <c r="E25" s="12" t="s">
        <v>30</v>
      </c>
      <c r="F25" s="141">
        <f t="shared" ref="F25:F26" si="7">D25/2.54</f>
        <v>32.047244094488192</v>
      </c>
      <c r="G25" s="12" t="s">
        <v>65</v>
      </c>
    </row>
    <row r="26" spans="2:13" ht="12" thickBot="1" x14ac:dyDescent="0.25">
      <c r="B26" s="55" t="s">
        <v>57</v>
      </c>
      <c r="C26" s="56" t="s">
        <v>0</v>
      </c>
      <c r="D26" s="57">
        <f>Path!N93</f>
        <v>261.60760736952085</v>
      </c>
      <c r="E26" s="12" t="s">
        <v>30</v>
      </c>
      <c r="F26" s="141">
        <f t="shared" si="7"/>
        <v>102.99512101162237</v>
      </c>
      <c r="G26" s="12" t="s">
        <v>65</v>
      </c>
    </row>
    <row r="27" spans="2:13" ht="12" thickBot="1" x14ac:dyDescent="0.25"/>
    <row r="28" spans="2:13" ht="12" thickBot="1" x14ac:dyDescent="0.25">
      <c r="B28" s="17" t="s">
        <v>7</v>
      </c>
      <c r="C28" s="18" t="s">
        <v>0</v>
      </c>
      <c r="D28" s="19">
        <v>1.8</v>
      </c>
      <c r="E28" s="12" t="s">
        <v>30</v>
      </c>
      <c r="F28" s="141">
        <f>D28/2.54</f>
        <v>0.70866141732283461</v>
      </c>
      <c r="G28" s="12" t="s">
        <v>65</v>
      </c>
      <c r="M28" s="189">
        <f>ABS(I42)+ABS(I43)+ABS(I44)+ABS(I45)</f>
        <v>2.1576234007625317E-4</v>
      </c>
    </row>
    <row r="30" spans="2:13" x14ac:dyDescent="0.2">
      <c r="B30" s="58" t="s">
        <v>22</v>
      </c>
      <c r="C30" s="59" t="s">
        <v>0</v>
      </c>
      <c r="D30" s="60">
        <f>D31-K47</f>
        <v>290.24117640775683</v>
      </c>
      <c r="E30" s="61" t="s">
        <v>20</v>
      </c>
      <c r="F30" s="61"/>
      <c r="G30" s="61"/>
      <c r="H30" s="62">
        <f>(D30*1000/2.54^3)/1728</f>
        <v>10.249770413692708</v>
      </c>
      <c r="I30" s="63" t="s">
        <v>2</v>
      </c>
      <c r="J30" s="63"/>
      <c r="K30" s="63"/>
      <c r="L30" s="63"/>
      <c r="M30" s="64"/>
    </row>
    <row r="31" spans="2:13" x14ac:dyDescent="0.2">
      <c r="B31" s="65" t="s">
        <v>23</v>
      </c>
      <c r="C31" s="66" t="s">
        <v>0</v>
      </c>
      <c r="D31" s="67">
        <f>(D21*D22*D23)/10^3</f>
        <v>368.47500000000002</v>
      </c>
      <c r="E31" s="68" t="s">
        <v>20</v>
      </c>
      <c r="F31" s="68"/>
      <c r="G31" s="68"/>
      <c r="H31" s="69">
        <f>(D31*1000/2.54^3)/1728</f>
        <v>13.012571820200508</v>
      </c>
      <c r="I31" s="70" t="s">
        <v>2</v>
      </c>
      <c r="J31" s="70"/>
      <c r="K31" s="70"/>
      <c r="L31" s="70"/>
      <c r="M31" s="71"/>
    </row>
    <row r="32" spans="2:13" x14ac:dyDescent="0.2">
      <c r="B32" s="65" t="s">
        <v>77</v>
      </c>
      <c r="C32" s="66" t="s">
        <v>0</v>
      </c>
      <c r="D32" s="174">
        <f>D22-2*E40</f>
        <v>47.4</v>
      </c>
      <c r="E32" s="68" t="s">
        <v>30</v>
      </c>
      <c r="F32" s="68"/>
      <c r="G32" s="68"/>
      <c r="H32" s="69"/>
      <c r="I32" s="70"/>
      <c r="J32" s="70"/>
      <c r="K32" s="70"/>
      <c r="L32" s="70"/>
      <c r="M32" s="71"/>
    </row>
    <row r="33" spans="2:13" ht="12" thickBot="1" x14ac:dyDescent="0.25">
      <c r="B33" s="72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1"/>
    </row>
    <row r="34" spans="2:13" ht="12" thickBot="1" x14ac:dyDescent="0.25">
      <c r="B34" s="8" t="s">
        <v>69</v>
      </c>
      <c r="C34" s="68" t="s">
        <v>0</v>
      </c>
      <c r="D34" s="180">
        <v>0</v>
      </c>
      <c r="E34" s="70"/>
      <c r="F34" s="68"/>
      <c r="G34" s="70"/>
      <c r="H34" s="9"/>
      <c r="I34" s="70"/>
      <c r="J34" s="70"/>
      <c r="K34" s="70"/>
      <c r="L34" s="70"/>
      <c r="M34" s="71"/>
    </row>
    <row r="35" spans="2:13" ht="12" thickBot="1" x14ac:dyDescent="0.25">
      <c r="B35" s="8" t="s">
        <v>70</v>
      </c>
      <c r="C35" s="68" t="s">
        <v>0</v>
      </c>
      <c r="D35" s="180">
        <f>Path!I11</f>
        <v>0</v>
      </c>
      <c r="E35" s="70"/>
      <c r="F35" s="70"/>
      <c r="G35" s="70"/>
      <c r="H35" s="70"/>
      <c r="I35" s="70"/>
      <c r="J35" s="70"/>
      <c r="K35" s="70"/>
      <c r="L35" s="70"/>
      <c r="M35" s="71"/>
    </row>
    <row r="36" spans="2:13" x14ac:dyDescent="0.2">
      <c r="B36" s="8"/>
      <c r="C36" s="68"/>
      <c r="D36" s="70"/>
      <c r="E36" s="70"/>
      <c r="F36" s="70"/>
      <c r="G36" s="70"/>
      <c r="H36" s="70"/>
      <c r="I36" s="70"/>
      <c r="J36" s="70"/>
      <c r="K36" s="70"/>
      <c r="L36" s="70"/>
      <c r="M36" s="71"/>
    </row>
    <row r="37" spans="2:13" x14ac:dyDescent="0.2">
      <c r="B37" s="65" t="s">
        <v>8</v>
      </c>
      <c r="C37" s="66"/>
      <c r="D37" s="73" t="s">
        <v>15</v>
      </c>
      <c r="E37" s="73" t="s">
        <v>78</v>
      </c>
      <c r="F37" s="73"/>
      <c r="G37" s="73"/>
      <c r="H37" s="73" t="s">
        <v>16</v>
      </c>
      <c r="I37" s="73" t="s">
        <v>84</v>
      </c>
      <c r="J37" s="73" t="s">
        <v>9</v>
      </c>
      <c r="K37" s="73" t="s">
        <v>44</v>
      </c>
      <c r="L37" s="66" t="s">
        <v>25</v>
      </c>
      <c r="M37" s="74"/>
    </row>
    <row r="38" spans="2:13" x14ac:dyDescent="0.2">
      <c r="B38" s="65" t="str">
        <f t="shared" ref="B38:B45" si="8">J11</f>
        <v>Panel A</v>
      </c>
      <c r="C38" s="68"/>
      <c r="D38" s="75">
        <f>D22-2*D28</f>
        <v>47.4</v>
      </c>
      <c r="E38" s="75">
        <f>D28</f>
        <v>1.8</v>
      </c>
      <c r="F38" s="76"/>
      <c r="G38" s="76"/>
      <c r="H38" s="75">
        <f>Panels!K10</f>
        <v>81.400000000000006</v>
      </c>
      <c r="I38" s="77"/>
      <c r="J38" s="77">
        <v>2</v>
      </c>
      <c r="K38" s="78">
        <f>H38*D38*D28*J38/10^3</f>
        <v>13.890096000000002</v>
      </c>
      <c r="L38" s="68" t="s">
        <v>10</v>
      </c>
      <c r="M38" s="71"/>
    </row>
    <row r="39" spans="2:13" x14ac:dyDescent="0.2">
      <c r="B39" s="65" t="str">
        <f t="shared" si="8"/>
        <v>Panel B (center)</v>
      </c>
      <c r="C39" s="68"/>
      <c r="D39" s="75">
        <f>D38</f>
        <v>47.4</v>
      </c>
      <c r="E39" s="75">
        <f>D28</f>
        <v>1.8</v>
      </c>
      <c r="F39" s="76"/>
      <c r="G39" s="76"/>
      <c r="H39" s="79">
        <v>6.5</v>
      </c>
      <c r="I39" s="186"/>
      <c r="J39" s="77">
        <v>1</v>
      </c>
      <c r="K39" s="78">
        <f t="shared" ref="K39:K45" si="9">D39*H39*$D$47*J39/10^3</f>
        <v>0.55457999999999996</v>
      </c>
      <c r="L39" s="68" t="s">
        <v>63</v>
      </c>
      <c r="M39" s="80"/>
    </row>
    <row r="40" spans="2:13" x14ac:dyDescent="0.2">
      <c r="B40" s="65" t="str">
        <f t="shared" si="8"/>
        <v>Panel C</v>
      </c>
      <c r="C40" s="68"/>
      <c r="D40" s="75">
        <f>Panels!K28</f>
        <v>85</v>
      </c>
      <c r="E40" s="75">
        <f>D28</f>
        <v>1.8</v>
      </c>
      <c r="F40" s="76"/>
      <c r="G40" s="76"/>
      <c r="H40" s="75">
        <f>Panels!K29</f>
        <v>85</v>
      </c>
      <c r="I40" s="186"/>
      <c r="J40" s="77">
        <v>2</v>
      </c>
      <c r="K40" s="78">
        <f t="shared" si="9"/>
        <v>26.01</v>
      </c>
      <c r="L40" s="68" t="s">
        <v>11</v>
      </c>
      <c r="M40" s="80"/>
    </row>
    <row r="41" spans="2:13" x14ac:dyDescent="0.2">
      <c r="B41" s="65" t="str">
        <f t="shared" si="8"/>
        <v>Panel D</v>
      </c>
      <c r="C41" s="68"/>
      <c r="D41" s="75">
        <f>D39</f>
        <v>47.4</v>
      </c>
      <c r="E41" s="75">
        <f>D28</f>
        <v>1.8</v>
      </c>
      <c r="F41" s="77"/>
      <c r="G41" s="77"/>
      <c r="H41" s="75">
        <f>D40</f>
        <v>85</v>
      </c>
      <c r="I41" s="186"/>
      <c r="J41" s="77">
        <v>1</v>
      </c>
      <c r="K41" s="78">
        <f t="shared" si="9"/>
        <v>7.2522000000000002</v>
      </c>
      <c r="L41" s="68" t="s">
        <v>12</v>
      </c>
      <c r="M41" s="80"/>
    </row>
    <row r="42" spans="2:13" x14ac:dyDescent="0.2">
      <c r="B42" s="65" t="str">
        <f t="shared" si="8"/>
        <v>Panel E</v>
      </c>
      <c r="C42" s="68"/>
      <c r="D42" s="75">
        <f>D39</f>
        <v>47.4</v>
      </c>
      <c r="E42" s="75">
        <f>D28</f>
        <v>1.8</v>
      </c>
      <c r="F42" s="77"/>
      <c r="G42" s="77"/>
      <c r="H42" s="79">
        <v>18.399999999999999</v>
      </c>
      <c r="I42" s="186">
        <f>Path!T60</f>
        <v>1.1368683772161603E-13</v>
      </c>
      <c r="J42" s="77">
        <v>2</v>
      </c>
      <c r="K42" s="78">
        <f t="shared" si="9"/>
        <v>3.1397759999999995</v>
      </c>
      <c r="L42" s="68" t="s">
        <v>45</v>
      </c>
      <c r="M42" s="80"/>
    </row>
    <row r="43" spans="2:13" x14ac:dyDescent="0.2">
      <c r="B43" s="65" t="str">
        <f t="shared" si="8"/>
        <v>Panel F (baffle)</v>
      </c>
      <c r="C43" s="68"/>
      <c r="D43" s="75">
        <f>D39</f>
        <v>47.4</v>
      </c>
      <c r="E43" s="75">
        <f>D28</f>
        <v>1.8</v>
      </c>
      <c r="F43" s="77"/>
      <c r="G43" s="77"/>
      <c r="H43" s="79">
        <v>68.399999999999991</v>
      </c>
      <c r="I43" s="186">
        <f>Path!T33</f>
        <v>-1.2505552149377763E-12</v>
      </c>
      <c r="J43" s="77">
        <v>1</v>
      </c>
      <c r="K43" s="78">
        <f t="shared" si="9"/>
        <v>5.8358879999999989</v>
      </c>
      <c r="L43" s="68" t="s">
        <v>27</v>
      </c>
      <c r="M43" s="80"/>
    </row>
    <row r="44" spans="2:13" x14ac:dyDescent="0.2">
      <c r="B44" s="65" t="str">
        <f t="shared" si="8"/>
        <v>Panel H</v>
      </c>
      <c r="C44" s="68"/>
      <c r="D44" s="75">
        <f>D39</f>
        <v>47.4</v>
      </c>
      <c r="E44" s="75">
        <f>D28</f>
        <v>1.8</v>
      </c>
      <c r="F44" s="77"/>
      <c r="G44" s="77"/>
      <c r="H44" s="79">
        <v>66.600000000000009</v>
      </c>
      <c r="I44" s="186">
        <f>Path!T51</f>
        <v>1.3642420526593924E-12</v>
      </c>
      <c r="J44" s="77">
        <v>2</v>
      </c>
      <c r="K44" s="78">
        <f t="shared" si="9"/>
        <v>11.364624000000001</v>
      </c>
      <c r="L44" s="68" t="s">
        <v>13</v>
      </c>
      <c r="M44" s="80"/>
    </row>
    <row r="45" spans="2:13" x14ac:dyDescent="0.2">
      <c r="B45" s="65" t="str">
        <f t="shared" si="8"/>
        <v>Panel I</v>
      </c>
      <c r="C45" s="68"/>
      <c r="D45" s="75">
        <f>D39</f>
        <v>47.4</v>
      </c>
      <c r="E45" s="75">
        <f>D28</f>
        <v>1.8</v>
      </c>
      <c r="F45" s="77"/>
      <c r="G45" s="77"/>
      <c r="H45" s="79">
        <v>59.696786171139173</v>
      </c>
      <c r="I45" s="186">
        <f>Path!T78</f>
        <v>2.1576233734776906E-4</v>
      </c>
      <c r="J45" s="77">
        <v>2</v>
      </c>
      <c r="K45" s="78">
        <f t="shared" si="9"/>
        <v>10.18665959224319</v>
      </c>
      <c r="L45" s="68" t="s">
        <v>13</v>
      </c>
      <c r="M45" s="80"/>
    </row>
    <row r="46" spans="2:13" x14ac:dyDescent="0.2">
      <c r="B46" s="72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1"/>
    </row>
    <row r="47" spans="2:13" x14ac:dyDescent="0.2">
      <c r="B47" s="82" t="s">
        <v>14</v>
      </c>
      <c r="C47" s="83"/>
      <c r="D47" s="84">
        <f>D28</f>
        <v>1.8</v>
      </c>
      <c r="E47" s="85" t="s">
        <v>21</v>
      </c>
      <c r="F47" s="85"/>
      <c r="G47" s="85"/>
      <c r="H47" s="83"/>
      <c r="I47" s="83"/>
      <c r="J47" s="85" t="s">
        <v>56</v>
      </c>
      <c r="K47" s="86">
        <f>SUM(K38:K45)</f>
        <v>78.233823592243198</v>
      </c>
      <c r="L47" s="85" t="s">
        <v>26</v>
      </c>
      <c r="M47" s="87"/>
    </row>
    <row r="51" spans="1:5" ht="12" thickBot="1" x14ac:dyDescent="0.25">
      <c r="D51" s="13"/>
    </row>
    <row r="52" spans="1:5" ht="12" thickBot="1" x14ac:dyDescent="0.25">
      <c r="B52" s="2" t="s">
        <v>118</v>
      </c>
      <c r="C52" s="3" t="s">
        <v>0</v>
      </c>
      <c r="D52" s="187">
        <v>4000</v>
      </c>
      <c r="E52" s="10" t="s">
        <v>119</v>
      </c>
    </row>
    <row r="53" spans="1:5" ht="12" thickBot="1" x14ac:dyDescent="0.25">
      <c r="B53" s="2" t="s">
        <v>120</v>
      </c>
      <c r="C53" s="188" t="s">
        <v>0</v>
      </c>
      <c r="D53" s="187">
        <v>0</v>
      </c>
      <c r="E53" s="10" t="s">
        <v>119</v>
      </c>
    </row>
    <row r="54" spans="1:5" ht="12" thickBot="1" x14ac:dyDescent="0.25">
      <c r="B54" s="5" t="s">
        <v>121</v>
      </c>
      <c r="C54" s="6" t="s">
        <v>0</v>
      </c>
      <c r="D54" s="7">
        <f>D52-D53</f>
        <v>4000</v>
      </c>
      <c r="E54" s="10" t="s">
        <v>24</v>
      </c>
    </row>
    <row r="59" spans="1:5" x14ac:dyDescent="0.2">
      <c r="A59" s="107"/>
    </row>
    <row r="66" spans="2:18" x14ac:dyDescent="0.2">
      <c r="B66" s="181" t="s">
        <v>86</v>
      </c>
      <c r="C66" s="182" t="s">
        <v>0</v>
      </c>
      <c r="D66" s="220" t="s">
        <v>87</v>
      </c>
      <c r="E66" s="204"/>
      <c r="F66" s="204"/>
      <c r="G66" s="204"/>
      <c r="H66" s="204"/>
      <c r="I66" s="204"/>
      <c r="J66" s="204"/>
      <c r="K66" s="204"/>
      <c r="L66" s="204"/>
      <c r="M66" s="204"/>
      <c r="N66" s="204"/>
      <c r="O66" s="204"/>
      <c r="P66" s="204"/>
      <c r="Q66" s="204"/>
      <c r="R66" s="205"/>
    </row>
    <row r="67" spans="2:18" x14ac:dyDescent="0.2">
      <c r="B67" s="10"/>
      <c r="C67" s="10"/>
      <c r="D67" s="10"/>
      <c r="E67" s="10"/>
      <c r="F67" s="10"/>
      <c r="G67" s="10"/>
      <c r="H67" s="10"/>
      <c r="I67" s="183"/>
      <c r="J67" s="183"/>
      <c r="K67" s="10"/>
      <c r="L67" s="10"/>
      <c r="M67" s="10"/>
      <c r="N67" s="10"/>
      <c r="O67" s="10"/>
      <c r="P67" s="10"/>
      <c r="Q67" s="10"/>
      <c r="R67" s="10"/>
    </row>
    <row r="68" spans="2:18" x14ac:dyDescent="0.2">
      <c r="B68" s="181" t="s">
        <v>88</v>
      </c>
      <c r="C68" s="182" t="s">
        <v>0</v>
      </c>
      <c r="D68" s="221" t="s">
        <v>89</v>
      </c>
      <c r="E68" s="222"/>
      <c r="F68" s="222"/>
      <c r="G68" s="222"/>
      <c r="H68" s="223"/>
      <c r="I68" s="183"/>
      <c r="J68" s="184" t="str">
        <f>CONCATENATE(B68,C68,D68)</f>
        <v>ID=29.00</v>
      </c>
      <c r="K68" s="10"/>
      <c r="L68" s="10"/>
      <c r="M68" s="10"/>
      <c r="N68" s="10"/>
      <c r="O68" s="10"/>
      <c r="P68" s="10"/>
      <c r="Q68" s="10"/>
      <c r="R68" s="10"/>
    </row>
    <row r="69" spans="2:18" x14ac:dyDescent="0.2">
      <c r="B69" s="181" t="s">
        <v>90</v>
      </c>
      <c r="C69" s="182" t="s">
        <v>0</v>
      </c>
      <c r="D69" s="221" t="s">
        <v>91</v>
      </c>
      <c r="E69" s="222"/>
      <c r="F69" s="222"/>
      <c r="G69" s="222"/>
      <c r="H69" s="223"/>
      <c r="I69" s="183"/>
      <c r="J69" s="184" t="str">
        <f t="shared" ref="J69:J105" si="10">CONCATENATE(B69,C69,D69)</f>
        <v>Ang=2.0 x PI</v>
      </c>
      <c r="K69" s="10"/>
      <c r="L69" s="10"/>
      <c r="M69" s="10"/>
      <c r="N69" s="10"/>
      <c r="O69" s="10"/>
      <c r="P69" s="10"/>
      <c r="Q69" s="10"/>
      <c r="R69" s="10"/>
    </row>
    <row r="70" spans="2:18" x14ac:dyDescent="0.2">
      <c r="B70" s="181" t="s">
        <v>92</v>
      </c>
      <c r="C70" s="182" t="s">
        <v>0</v>
      </c>
      <c r="D70" s="224">
        <v>2.83</v>
      </c>
      <c r="E70" s="225"/>
      <c r="F70" s="225"/>
      <c r="G70" s="225"/>
      <c r="H70" s="226"/>
      <c r="I70" s="183"/>
      <c r="J70" s="184" t="str">
        <f t="shared" si="10"/>
        <v>Eg=2.83</v>
      </c>
      <c r="K70" s="10"/>
      <c r="L70" s="10"/>
      <c r="M70" s="10"/>
      <c r="N70" s="10"/>
      <c r="O70" s="10"/>
      <c r="P70" s="10"/>
      <c r="Q70" s="10"/>
      <c r="R70" s="10"/>
    </row>
    <row r="71" spans="2:18" x14ac:dyDescent="0.2">
      <c r="B71" s="181" t="s">
        <v>93</v>
      </c>
      <c r="C71" s="182" t="s">
        <v>0</v>
      </c>
      <c r="D71" s="224">
        <v>0</v>
      </c>
      <c r="E71" s="225"/>
      <c r="F71" s="225"/>
      <c r="G71" s="225"/>
      <c r="H71" s="226"/>
      <c r="I71" s="10"/>
      <c r="J71" s="184" t="str">
        <f t="shared" si="10"/>
        <v>Rg=0</v>
      </c>
      <c r="K71" s="10"/>
      <c r="L71" s="10"/>
      <c r="M71" s="10"/>
      <c r="N71" s="10"/>
      <c r="O71" s="10"/>
      <c r="P71" s="10"/>
      <c r="Q71" s="10"/>
      <c r="R71" s="10"/>
    </row>
    <row r="72" spans="2:18" x14ac:dyDescent="0.2">
      <c r="B72" s="181" t="s">
        <v>94</v>
      </c>
      <c r="C72" s="182" t="s">
        <v>0</v>
      </c>
      <c r="D72" s="206">
        <v>0</v>
      </c>
      <c r="E72" s="207"/>
      <c r="F72" s="207"/>
      <c r="G72" s="207"/>
      <c r="H72" s="208"/>
      <c r="I72" s="10"/>
      <c r="J72" s="184" t="str">
        <f t="shared" si="10"/>
        <v>Fta=0</v>
      </c>
      <c r="K72" s="10"/>
      <c r="L72" s="10"/>
      <c r="M72" s="10"/>
      <c r="N72" s="10"/>
      <c r="O72" s="10"/>
      <c r="P72" s="10"/>
      <c r="Q72" s="10"/>
      <c r="R72" s="10"/>
    </row>
    <row r="73" spans="2:18" x14ac:dyDescent="0.2">
      <c r="B73" s="181" t="s">
        <v>18</v>
      </c>
      <c r="C73" s="182" t="s">
        <v>0</v>
      </c>
      <c r="D73" s="210">
        <f>ROUND(D11,0)</f>
        <v>616</v>
      </c>
      <c r="E73" s="211"/>
      <c r="F73" s="211"/>
      <c r="G73" s="211"/>
      <c r="H73" s="212"/>
      <c r="I73" s="10"/>
      <c r="J73" s="184" t="str">
        <f t="shared" si="10"/>
        <v>S1=616</v>
      </c>
      <c r="K73" s="10"/>
      <c r="L73" s="10"/>
      <c r="M73" s="10"/>
      <c r="N73" s="10"/>
      <c r="O73" s="10"/>
      <c r="P73" s="10"/>
      <c r="Q73" s="10"/>
      <c r="R73" s="10"/>
    </row>
    <row r="74" spans="2:18" x14ac:dyDescent="0.2">
      <c r="B74" s="181" t="s">
        <v>52</v>
      </c>
      <c r="C74" s="182" t="s">
        <v>0</v>
      </c>
      <c r="D74" s="210">
        <f>ROUND(D12,0)</f>
        <v>616</v>
      </c>
      <c r="E74" s="211"/>
      <c r="F74" s="211"/>
      <c r="G74" s="211"/>
      <c r="H74" s="212"/>
      <c r="I74" s="10"/>
      <c r="J74" s="184" t="str">
        <f t="shared" si="10"/>
        <v>S2=616</v>
      </c>
      <c r="K74" s="10"/>
      <c r="L74" s="10"/>
      <c r="M74" s="10"/>
      <c r="N74" s="10"/>
      <c r="O74" s="10"/>
      <c r="P74" s="10"/>
      <c r="Q74" s="10"/>
      <c r="R74" s="10"/>
    </row>
    <row r="75" spans="2:18" x14ac:dyDescent="0.2">
      <c r="B75" s="181" t="s">
        <v>95</v>
      </c>
      <c r="C75" s="182" t="s">
        <v>0</v>
      </c>
      <c r="D75" s="209">
        <f>ROUND(D16,1)</f>
        <v>0.1</v>
      </c>
      <c r="E75" s="207"/>
      <c r="F75" s="207"/>
      <c r="G75" s="207"/>
      <c r="H75" s="208"/>
      <c r="I75" s="10"/>
      <c r="J75" s="184" t="str">
        <f t="shared" si="10"/>
        <v>Par=0.1</v>
      </c>
      <c r="K75" s="10"/>
      <c r="L75" s="10"/>
      <c r="M75" s="10"/>
      <c r="N75" s="10"/>
      <c r="O75" s="10"/>
      <c r="P75" s="10"/>
      <c r="Q75" s="10"/>
      <c r="R75" s="10"/>
    </row>
    <row r="76" spans="2:18" x14ac:dyDescent="0.2">
      <c r="B76" s="181" t="s">
        <v>96</v>
      </c>
      <c r="C76" s="182" t="s">
        <v>0</v>
      </c>
      <c r="D76" s="206">
        <v>0</v>
      </c>
      <c r="E76" s="207"/>
      <c r="F76" s="207"/>
      <c r="G76" s="207"/>
      <c r="H76" s="208"/>
      <c r="I76" s="10"/>
      <c r="J76" s="184" t="str">
        <f t="shared" si="10"/>
        <v>F12=0</v>
      </c>
      <c r="K76" s="10"/>
      <c r="L76" s="10"/>
      <c r="M76" s="10"/>
      <c r="N76" s="10"/>
      <c r="O76" s="10"/>
      <c r="P76" s="10"/>
      <c r="Q76" s="10"/>
      <c r="R76" s="10"/>
    </row>
    <row r="77" spans="2:18" x14ac:dyDescent="0.2">
      <c r="B77" s="181" t="s">
        <v>52</v>
      </c>
      <c r="C77" s="182" t="s">
        <v>0</v>
      </c>
      <c r="D77" s="210">
        <f>D74</f>
        <v>616</v>
      </c>
      <c r="E77" s="211"/>
      <c r="F77" s="211"/>
      <c r="G77" s="211"/>
      <c r="H77" s="212"/>
      <c r="I77" s="10"/>
      <c r="J77" s="184" t="str">
        <f t="shared" si="10"/>
        <v>S2=616</v>
      </c>
      <c r="K77" s="10"/>
      <c r="L77" s="10"/>
      <c r="M77" s="10"/>
      <c r="N77" s="10"/>
      <c r="O77" s="10"/>
      <c r="P77" s="10"/>
      <c r="Q77" s="10"/>
      <c r="R77" s="10"/>
    </row>
    <row r="78" spans="2:18" x14ac:dyDescent="0.2">
      <c r="B78" s="181" t="s">
        <v>74</v>
      </c>
      <c r="C78" s="182" t="s">
        <v>0</v>
      </c>
      <c r="D78" s="210">
        <f>ROUND(D13,0)</f>
        <v>616</v>
      </c>
      <c r="E78" s="211"/>
      <c r="F78" s="211"/>
      <c r="G78" s="211"/>
      <c r="H78" s="212"/>
      <c r="I78" s="10"/>
      <c r="J78" s="184" t="str">
        <f t="shared" si="10"/>
        <v>S3=616</v>
      </c>
      <c r="K78" s="10"/>
      <c r="L78" s="10"/>
      <c r="M78" s="10"/>
      <c r="N78" s="10"/>
      <c r="O78" s="10"/>
      <c r="P78" s="10"/>
      <c r="Q78" s="10"/>
      <c r="R78" s="10"/>
    </row>
    <row r="79" spans="2:18" x14ac:dyDescent="0.2">
      <c r="B79" s="181" t="s">
        <v>95</v>
      </c>
      <c r="C79" s="182" t="s">
        <v>0</v>
      </c>
      <c r="D79" s="209">
        <f>ROUND(D17,1)</f>
        <v>173.2</v>
      </c>
      <c r="E79" s="207"/>
      <c r="F79" s="207"/>
      <c r="G79" s="207"/>
      <c r="H79" s="208"/>
      <c r="I79" s="10"/>
      <c r="J79" s="184" t="str">
        <f t="shared" si="10"/>
        <v>Par=173.2</v>
      </c>
      <c r="K79" s="10"/>
      <c r="L79" s="10"/>
      <c r="M79" s="10"/>
      <c r="N79" s="10"/>
      <c r="O79" s="10"/>
      <c r="P79" s="10"/>
      <c r="Q79" s="10"/>
      <c r="R79" s="10"/>
    </row>
    <row r="80" spans="2:18" x14ac:dyDescent="0.2">
      <c r="B80" s="181" t="s">
        <v>97</v>
      </c>
      <c r="C80" s="182" t="s">
        <v>0</v>
      </c>
      <c r="D80" s="206">
        <v>0</v>
      </c>
      <c r="E80" s="207"/>
      <c r="F80" s="207"/>
      <c r="G80" s="207"/>
      <c r="H80" s="208"/>
      <c r="I80" s="10"/>
      <c r="J80" s="184" t="str">
        <f t="shared" si="10"/>
        <v>F23=0</v>
      </c>
      <c r="K80" s="10"/>
      <c r="L80" s="10"/>
      <c r="M80" s="10"/>
      <c r="N80" s="10"/>
      <c r="O80" s="10"/>
      <c r="P80" s="10"/>
      <c r="Q80" s="10"/>
      <c r="R80" s="10"/>
    </row>
    <row r="81" spans="2:18" x14ac:dyDescent="0.2">
      <c r="B81" s="181" t="s">
        <v>74</v>
      </c>
      <c r="C81" s="182" t="s">
        <v>0</v>
      </c>
      <c r="D81" s="210">
        <f>D78</f>
        <v>616</v>
      </c>
      <c r="E81" s="211"/>
      <c r="F81" s="211"/>
      <c r="G81" s="211"/>
      <c r="H81" s="212"/>
      <c r="I81" s="10"/>
      <c r="J81" s="184" t="str">
        <f t="shared" si="10"/>
        <v>S3=616</v>
      </c>
      <c r="K81" s="10"/>
      <c r="L81" s="10"/>
      <c r="M81" s="10"/>
      <c r="N81" s="10"/>
      <c r="O81" s="10"/>
      <c r="P81" s="10"/>
      <c r="Q81" s="10"/>
      <c r="R81" s="10"/>
    </row>
    <row r="82" spans="2:18" x14ac:dyDescent="0.2">
      <c r="B82" s="181" t="s">
        <v>19</v>
      </c>
      <c r="C82" s="182" t="s">
        <v>0</v>
      </c>
      <c r="D82" s="210">
        <f>ROUND(D14,0)</f>
        <v>2285</v>
      </c>
      <c r="E82" s="211"/>
      <c r="F82" s="211"/>
      <c r="G82" s="211"/>
      <c r="H82" s="212"/>
      <c r="I82" s="10"/>
      <c r="J82" s="184" t="str">
        <f t="shared" si="10"/>
        <v>S4=2285</v>
      </c>
      <c r="K82" s="10"/>
      <c r="L82" s="10"/>
      <c r="M82" s="10"/>
      <c r="N82" s="10"/>
      <c r="O82" s="10"/>
      <c r="P82" s="10"/>
      <c r="Q82" s="10"/>
      <c r="R82" s="10"/>
    </row>
    <row r="83" spans="2:18" x14ac:dyDescent="0.2">
      <c r="B83" s="181" t="s">
        <v>95</v>
      </c>
      <c r="C83" s="182" t="s">
        <v>0</v>
      </c>
      <c r="D83" s="209">
        <f>ROUND(D18,1)</f>
        <v>26.8</v>
      </c>
      <c r="E83" s="207"/>
      <c r="F83" s="207"/>
      <c r="G83" s="207"/>
      <c r="H83" s="208"/>
      <c r="I83" s="10"/>
      <c r="J83" s="184" t="str">
        <f t="shared" si="10"/>
        <v>Par=26.8</v>
      </c>
      <c r="K83" s="10"/>
      <c r="L83" s="10"/>
      <c r="M83" s="10"/>
      <c r="N83" s="10"/>
      <c r="O83" s="10"/>
      <c r="P83" s="10"/>
      <c r="Q83" s="10"/>
      <c r="R83" s="10"/>
    </row>
    <row r="84" spans="2:18" x14ac:dyDescent="0.2">
      <c r="B84" s="181" t="s">
        <v>98</v>
      </c>
      <c r="C84" s="182" t="s">
        <v>0</v>
      </c>
      <c r="D84" s="206">
        <v>0</v>
      </c>
      <c r="E84" s="207"/>
      <c r="F84" s="207"/>
      <c r="G84" s="207"/>
      <c r="H84" s="208"/>
      <c r="I84" s="10"/>
      <c r="J84" s="184" t="str">
        <f t="shared" si="10"/>
        <v>F34=0</v>
      </c>
      <c r="K84" s="10"/>
      <c r="L84" s="10"/>
      <c r="M84" s="10"/>
      <c r="N84" s="10"/>
      <c r="O84" s="10"/>
      <c r="P84" s="10"/>
      <c r="Q84" s="10"/>
      <c r="R84" s="10"/>
    </row>
    <row r="85" spans="2:18" x14ac:dyDescent="0.2">
      <c r="B85" s="181" t="s">
        <v>19</v>
      </c>
      <c r="C85" s="182" t="s">
        <v>0</v>
      </c>
      <c r="D85" s="210">
        <f>D82</f>
        <v>2285</v>
      </c>
      <c r="E85" s="211"/>
      <c r="F85" s="211"/>
      <c r="G85" s="211"/>
      <c r="H85" s="212"/>
      <c r="I85" s="10"/>
      <c r="J85" s="184" t="str">
        <f t="shared" si="10"/>
        <v>S4=2285</v>
      </c>
      <c r="K85" s="10"/>
      <c r="L85" s="10"/>
      <c r="M85" s="10"/>
      <c r="N85" s="10"/>
      <c r="O85" s="10"/>
      <c r="P85" s="10"/>
      <c r="Q85" s="10"/>
      <c r="R85" s="10"/>
    </row>
    <row r="86" spans="2:18" x14ac:dyDescent="0.2">
      <c r="B86" s="181" t="s">
        <v>76</v>
      </c>
      <c r="C86" s="182" t="s">
        <v>0</v>
      </c>
      <c r="D86" s="210">
        <f>ROUND(D15,0)</f>
        <v>2285</v>
      </c>
      <c r="E86" s="207"/>
      <c r="F86" s="207"/>
      <c r="G86" s="207"/>
      <c r="H86" s="208"/>
      <c r="I86" s="10"/>
      <c r="J86" s="184" t="str">
        <f t="shared" si="10"/>
        <v>S5=2285</v>
      </c>
      <c r="K86" s="10"/>
      <c r="L86" s="10"/>
      <c r="M86" s="10"/>
      <c r="N86" s="10"/>
      <c r="O86" s="10"/>
      <c r="P86" s="10"/>
      <c r="Q86" s="10"/>
      <c r="R86" s="10"/>
    </row>
    <row r="87" spans="2:18" x14ac:dyDescent="0.2">
      <c r="B87" s="181" t="s">
        <v>95</v>
      </c>
      <c r="C87" s="182" t="s">
        <v>0</v>
      </c>
      <c r="D87" s="209">
        <f>ROUND(D19,1)</f>
        <v>61.5</v>
      </c>
      <c r="E87" s="207"/>
      <c r="F87" s="207"/>
      <c r="G87" s="207"/>
      <c r="H87" s="208"/>
      <c r="I87" s="10"/>
      <c r="J87" s="184" t="str">
        <f t="shared" si="10"/>
        <v>Par=61.5</v>
      </c>
      <c r="K87" s="10"/>
      <c r="L87" s="10"/>
      <c r="M87" s="10"/>
      <c r="N87" s="10"/>
      <c r="O87" s="10"/>
      <c r="P87" s="10"/>
      <c r="Q87" s="10"/>
      <c r="R87" s="10"/>
    </row>
    <row r="88" spans="2:18" x14ac:dyDescent="0.2">
      <c r="B88" s="181" t="s">
        <v>99</v>
      </c>
      <c r="C88" s="182" t="s">
        <v>0</v>
      </c>
      <c r="D88" s="206">
        <v>0</v>
      </c>
      <c r="E88" s="207"/>
      <c r="F88" s="207"/>
      <c r="G88" s="207"/>
      <c r="H88" s="208"/>
      <c r="I88" s="10"/>
      <c r="J88" s="184" t="str">
        <f t="shared" si="10"/>
        <v>F45=0</v>
      </c>
      <c r="K88" s="10"/>
      <c r="L88" s="10"/>
      <c r="M88" s="10"/>
      <c r="N88" s="10"/>
      <c r="O88" s="10"/>
      <c r="P88" s="10"/>
      <c r="Q88" s="10"/>
      <c r="R88" s="10"/>
    </row>
    <row r="89" spans="2:18" x14ac:dyDescent="0.2">
      <c r="B89" s="181" t="s">
        <v>100</v>
      </c>
      <c r="C89" s="182" t="s">
        <v>0</v>
      </c>
      <c r="D89" s="203">
        <v>1210</v>
      </c>
      <c r="E89" s="204"/>
      <c r="F89" s="204"/>
      <c r="G89" s="204"/>
      <c r="H89" s="205"/>
      <c r="I89" s="10"/>
      <c r="J89" s="184" t="str">
        <f t="shared" si="10"/>
        <v>Sd=1210</v>
      </c>
      <c r="K89" s="10"/>
      <c r="L89" s="10"/>
      <c r="M89" s="10"/>
      <c r="N89" s="10"/>
      <c r="O89" s="10"/>
      <c r="P89" s="10"/>
      <c r="Q89" s="10"/>
      <c r="R89" s="10"/>
    </row>
    <row r="90" spans="2:18" x14ac:dyDescent="0.2">
      <c r="B90" s="181" t="s">
        <v>101</v>
      </c>
      <c r="C90" s="182" t="s">
        <v>0</v>
      </c>
      <c r="D90" s="203">
        <v>26.4</v>
      </c>
      <c r="E90" s="204"/>
      <c r="F90" s="204"/>
      <c r="G90" s="204"/>
      <c r="H90" s="205"/>
      <c r="I90" s="10"/>
      <c r="J90" s="184" t="str">
        <f t="shared" si="10"/>
        <v>Bl=26.4</v>
      </c>
      <c r="K90" s="10"/>
      <c r="L90" s="10"/>
      <c r="M90" s="10"/>
      <c r="N90" s="10"/>
      <c r="O90" s="10"/>
      <c r="P90" s="10"/>
      <c r="Q90" s="10"/>
      <c r="R90" s="10"/>
    </row>
    <row r="91" spans="2:18" x14ac:dyDescent="0.2">
      <c r="B91" s="181" t="s">
        <v>102</v>
      </c>
      <c r="C91" s="182" t="s">
        <v>0</v>
      </c>
      <c r="D91" s="213">
        <v>8.7000000000000001E-5</v>
      </c>
      <c r="E91" s="214"/>
      <c r="F91" s="214"/>
      <c r="G91" s="214"/>
      <c r="H91" s="215"/>
      <c r="I91" s="10"/>
      <c r="J91" s="184" t="str">
        <f t="shared" si="10"/>
        <v>Cms=0.000087</v>
      </c>
      <c r="K91" s="10"/>
      <c r="L91" s="10"/>
      <c r="M91" s="10"/>
      <c r="N91" s="10"/>
      <c r="O91" s="10"/>
      <c r="P91" s="10"/>
      <c r="Q91" s="10"/>
      <c r="R91" s="10"/>
    </row>
    <row r="92" spans="2:18" x14ac:dyDescent="0.2">
      <c r="B92" s="181" t="s">
        <v>103</v>
      </c>
      <c r="C92" s="182" t="s">
        <v>0</v>
      </c>
      <c r="D92" s="203">
        <v>8.9</v>
      </c>
      <c r="E92" s="204"/>
      <c r="F92" s="204"/>
      <c r="G92" s="204"/>
      <c r="H92" s="205"/>
      <c r="I92" s="10"/>
      <c r="J92" s="184" t="str">
        <f t="shared" si="10"/>
        <v>Rms=8.9</v>
      </c>
      <c r="K92" s="10"/>
      <c r="L92" s="10"/>
      <c r="M92" s="10"/>
      <c r="N92" s="10"/>
      <c r="O92" s="10"/>
      <c r="P92" s="10"/>
      <c r="Q92" s="10"/>
      <c r="R92" s="10"/>
    </row>
    <row r="93" spans="2:18" x14ac:dyDescent="0.2">
      <c r="B93" s="181" t="s">
        <v>104</v>
      </c>
      <c r="C93" s="182" t="s">
        <v>0</v>
      </c>
      <c r="D93" s="203">
        <v>243.16</v>
      </c>
      <c r="E93" s="204"/>
      <c r="F93" s="204"/>
      <c r="G93" s="204"/>
      <c r="H93" s="205"/>
      <c r="I93" s="10"/>
      <c r="J93" s="184" t="str">
        <f t="shared" si="10"/>
        <v>Mmd=243.16</v>
      </c>
      <c r="K93" s="10"/>
      <c r="L93" s="10"/>
      <c r="M93" s="10"/>
      <c r="N93" s="10"/>
      <c r="O93" s="10"/>
      <c r="P93" s="10"/>
      <c r="Q93" s="10"/>
      <c r="R93" s="10"/>
    </row>
    <row r="94" spans="2:18" x14ac:dyDescent="0.2">
      <c r="B94" s="181" t="s">
        <v>105</v>
      </c>
      <c r="C94" s="182" t="s">
        <v>0</v>
      </c>
      <c r="D94" s="203">
        <v>1.64</v>
      </c>
      <c r="E94" s="204"/>
      <c r="F94" s="204"/>
      <c r="G94" s="204"/>
      <c r="H94" s="205"/>
      <c r="I94" s="10"/>
      <c r="J94" s="184" t="str">
        <f t="shared" si="10"/>
        <v>Le=1.64</v>
      </c>
      <c r="K94" s="10"/>
      <c r="L94" s="10"/>
      <c r="M94" s="10"/>
      <c r="N94" s="10"/>
      <c r="O94" s="10"/>
      <c r="P94" s="10"/>
      <c r="Q94" s="10"/>
      <c r="R94" s="10"/>
    </row>
    <row r="95" spans="2:18" x14ac:dyDescent="0.2">
      <c r="B95" s="181" t="s">
        <v>106</v>
      </c>
      <c r="C95" s="182" t="s">
        <v>0</v>
      </c>
      <c r="D95" s="203">
        <v>3.2</v>
      </c>
      <c r="E95" s="204"/>
      <c r="F95" s="204"/>
      <c r="G95" s="204"/>
      <c r="H95" s="205"/>
      <c r="I95" s="10"/>
      <c r="J95" s="184" t="str">
        <f t="shared" si="10"/>
        <v>Re=3.2</v>
      </c>
      <c r="K95" s="10"/>
      <c r="L95" s="10"/>
      <c r="M95" s="10"/>
      <c r="N95" s="10"/>
      <c r="O95" s="10"/>
      <c r="P95" s="10"/>
      <c r="Q95" s="10"/>
      <c r="R95" s="10"/>
    </row>
    <row r="96" spans="2:18" x14ac:dyDescent="0.2">
      <c r="B96" s="181" t="s">
        <v>107</v>
      </c>
      <c r="C96" s="182" t="s">
        <v>0</v>
      </c>
      <c r="D96" s="206">
        <v>1</v>
      </c>
      <c r="E96" s="207"/>
      <c r="F96" s="207"/>
      <c r="G96" s="207"/>
      <c r="H96" s="208"/>
      <c r="I96" s="10"/>
      <c r="J96" s="184" t="str">
        <f t="shared" si="10"/>
        <v>TH=1</v>
      </c>
      <c r="K96" s="10"/>
      <c r="L96" s="10"/>
      <c r="M96" s="10"/>
      <c r="N96" s="10"/>
      <c r="O96" s="10"/>
      <c r="P96" s="10"/>
      <c r="Q96" s="10"/>
      <c r="R96" s="10"/>
    </row>
    <row r="97" spans="2:18" x14ac:dyDescent="0.2">
      <c r="B97" s="181" t="s">
        <v>108</v>
      </c>
      <c r="C97" s="182" t="s">
        <v>0</v>
      </c>
      <c r="D97" s="206">
        <v>0</v>
      </c>
      <c r="E97" s="207"/>
      <c r="F97" s="207"/>
      <c r="G97" s="207"/>
      <c r="H97" s="208"/>
      <c r="I97" s="10"/>
      <c r="J97" s="184" t="str">
        <f t="shared" si="10"/>
        <v>Vrc=0</v>
      </c>
      <c r="K97" s="10"/>
      <c r="L97" s="10"/>
      <c r="M97" s="10"/>
      <c r="N97" s="10"/>
      <c r="O97" s="10"/>
      <c r="P97" s="10"/>
      <c r="Q97" s="10"/>
      <c r="R97" s="10"/>
    </row>
    <row r="98" spans="2:18" x14ac:dyDescent="0.2">
      <c r="B98" s="181" t="s">
        <v>109</v>
      </c>
      <c r="C98" s="182" t="s">
        <v>0</v>
      </c>
      <c r="D98" s="206">
        <v>0</v>
      </c>
      <c r="E98" s="207"/>
      <c r="F98" s="207"/>
      <c r="G98" s="207"/>
      <c r="H98" s="208"/>
      <c r="I98" s="10"/>
      <c r="J98" s="184" t="str">
        <f t="shared" si="10"/>
        <v>Lrc=0</v>
      </c>
      <c r="K98" s="10"/>
      <c r="L98" s="10"/>
      <c r="M98" s="10"/>
      <c r="N98" s="10"/>
      <c r="O98" s="10"/>
      <c r="P98" s="10"/>
      <c r="Q98" s="10"/>
      <c r="R98" s="10"/>
    </row>
    <row r="99" spans="2:18" x14ac:dyDescent="0.2">
      <c r="B99" s="181" t="s">
        <v>110</v>
      </c>
      <c r="C99" s="182" t="s">
        <v>0</v>
      </c>
      <c r="D99" s="209">
        <v>0</v>
      </c>
      <c r="E99" s="207"/>
      <c r="F99" s="207"/>
      <c r="G99" s="207"/>
      <c r="H99" s="208"/>
      <c r="I99" s="10"/>
      <c r="J99" s="184" t="str">
        <f t="shared" si="10"/>
        <v>Ap1=0</v>
      </c>
      <c r="K99" s="10"/>
      <c r="L99" s="10"/>
      <c r="M99" s="10"/>
      <c r="N99" s="10"/>
      <c r="O99" s="10"/>
      <c r="P99" s="10"/>
      <c r="Q99" s="10"/>
      <c r="R99" s="10"/>
    </row>
    <row r="100" spans="2:18" x14ac:dyDescent="0.2">
      <c r="B100" s="181" t="s">
        <v>111</v>
      </c>
      <c r="C100" s="182" t="s">
        <v>0</v>
      </c>
      <c r="D100" s="209">
        <v>0</v>
      </c>
      <c r="E100" s="207"/>
      <c r="F100" s="207"/>
      <c r="G100" s="207"/>
      <c r="H100" s="208"/>
      <c r="I100" s="10"/>
      <c r="J100" s="184" t="str">
        <f t="shared" si="10"/>
        <v>Lp=0</v>
      </c>
      <c r="K100" s="10"/>
      <c r="L100" s="10"/>
      <c r="M100" s="10"/>
      <c r="N100" s="10"/>
      <c r="O100" s="10"/>
      <c r="P100" s="10"/>
      <c r="Q100" s="10"/>
      <c r="R100" s="10"/>
    </row>
    <row r="101" spans="2:18" x14ac:dyDescent="0.2">
      <c r="B101" s="181" t="s">
        <v>112</v>
      </c>
      <c r="C101" s="182" t="s">
        <v>0</v>
      </c>
      <c r="D101" s="209">
        <f>D52</f>
        <v>4000</v>
      </c>
      <c r="E101" s="207"/>
      <c r="F101" s="207"/>
      <c r="G101" s="207"/>
      <c r="H101" s="208"/>
      <c r="I101" s="10"/>
      <c r="J101" s="184" t="str">
        <f t="shared" si="10"/>
        <v>Vtc=4000</v>
      </c>
      <c r="K101" s="10"/>
      <c r="L101" s="10"/>
      <c r="M101" s="10"/>
      <c r="N101" s="10"/>
      <c r="O101" s="10"/>
      <c r="P101" s="10"/>
      <c r="Q101" s="10"/>
      <c r="R101" s="10"/>
    </row>
    <row r="102" spans="2:18" x14ac:dyDescent="0.2">
      <c r="B102" s="181" t="s">
        <v>113</v>
      </c>
      <c r="C102" s="182" t="s">
        <v>0</v>
      </c>
      <c r="D102" s="206">
        <f>D89</f>
        <v>1210</v>
      </c>
      <c r="E102" s="207"/>
      <c r="F102" s="207"/>
      <c r="G102" s="207"/>
      <c r="H102" s="208"/>
      <c r="I102" s="10"/>
      <c r="J102" s="184" t="str">
        <f t="shared" si="10"/>
        <v>Atc=1210</v>
      </c>
      <c r="K102" s="10"/>
      <c r="L102" s="10"/>
      <c r="M102" s="10"/>
      <c r="N102" s="10"/>
      <c r="O102" s="10"/>
      <c r="P102" s="10"/>
      <c r="Q102" s="10"/>
      <c r="R102" s="10"/>
    </row>
    <row r="103" spans="2:18" x14ac:dyDescent="0.2">
      <c r="B103" s="181" t="s">
        <v>114</v>
      </c>
      <c r="C103" s="182" t="s">
        <v>0</v>
      </c>
      <c r="D103" s="203">
        <v>1000</v>
      </c>
      <c r="E103" s="204"/>
      <c r="F103" s="204"/>
      <c r="G103" s="204"/>
      <c r="H103" s="205"/>
      <c r="I103" s="10"/>
      <c r="J103" s="184" t="str">
        <f t="shared" si="10"/>
        <v>Pmax=1000</v>
      </c>
      <c r="K103" s="10"/>
      <c r="L103" s="10"/>
      <c r="M103" s="10"/>
      <c r="N103" s="10"/>
      <c r="O103" s="10"/>
      <c r="P103" s="10"/>
      <c r="Q103" s="10"/>
      <c r="R103" s="10"/>
    </row>
    <row r="104" spans="2:18" x14ac:dyDescent="0.2">
      <c r="B104" s="181" t="s">
        <v>115</v>
      </c>
      <c r="C104" s="182" t="s">
        <v>0</v>
      </c>
      <c r="D104" s="203">
        <v>12</v>
      </c>
      <c r="E104" s="204"/>
      <c r="F104" s="204"/>
      <c r="G104" s="204"/>
      <c r="H104" s="205"/>
      <c r="I104" s="10"/>
      <c r="J104" s="184" t="str">
        <f t="shared" si="10"/>
        <v>Xmax=12</v>
      </c>
      <c r="K104" s="10"/>
      <c r="L104" s="10"/>
      <c r="M104" s="10"/>
      <c r="N104" s="10"/>
      <c r="O104" s="10"/>
      <c r="P104" s="10"/>
      <c r="Q104" s="10"/>
      <c r="R104" s="10"/>
    </row>
    <row r="105" spans="2:18" x14ac:dyDescent="0.2">
      <c r="B105" s="181" t="s">
        <v>116</v>
      </c>
      <c r="C105" s="182" t="s">
        <v>0</v>
      </c>
      <c r="D105" s="203" t="s">
        <v>117</v>
      </c>
      <c r="E105" s="204"/>
      <c r="F105" s="204"/>
      <c r="G105" s="204"/>
      <c r="H105" s="205"/>
      <c r="I105" s="10"/>
      <c r="J105" s="184" t="str">
        <f t="shared" si="10"/>
        <v>Comment=BOXPLAN-Export (7.2 Beta)</v>
      </c>
      <c r="K105" s="10"/>
      <c r="L105" s="10"/>
      <c r="M105" s="10"/>
      <c r="N105" s="10"/>
      <c r="O105" s="10"/>
      <c r="P105" s="10"/>
      <c r="Q105" s="10"/>
      <c r="R105" s="10"/>
    </row>
    <row r="123" spans="4:8" x14ac:dyDescent="0.2">
      <c r="D123" s="108"/>
      <c r="H123" s="13"/>
    </row>
    <row r="124" spans="4:8" x14ac:dyDescent="0.2">
      <c r="H124" s="13"/>
    </row>
    <row r="129" spans="11:12" x14ac:dyDescent="0.2">
      <c r="K129" s="15"/>
      <c r="L129" s="15"/>
    </row>
    <row r="130" spans="11:12" x14ac:dyDescent="0.2">
      <c r="K130" s="15"/>
      <c r="L130" s="15"/>
    </row>
    <row r="131" spans="11:12" x14ac:dyDescent="0.2">
      <c r="K131" s="15"/>
      <c r="L131" s="15"/>
    </row>
    <row r="132" spans="11:12" x14ac:dyDescent="0.2">
      <c r="K132" s="15"/>
      <c r="L132" s="15"/>
    </row>
    <row r="133" spans="11:12" x14ac:dyDescent="0.2">
      <c r="K133" s="15"/>
      <c r="L133" s="15"/>
    </row>
    <row r="134" spans="11:12" x14ac:dyDescent="0.2">
      <c r="K134" s="15"/>
      <c r="L134" s="15"/>
    </row>
    <row r="135" spans="11:12" x14ac:dyDescent="0.2">
      <c r="K135" s="15"/>
      <c r="L135" s="15"/>
    </row>
    <row r="136" spans="11:12" x14ac:dyDescent="0.2">
      <c r="K136" s="15"/>
      <c r="L136" s="15"/>
    </row>
    <row r="137" spans="11:12" x14ac:dyDescent="0.2">
      <c r="K137" s="15"/>
      <c r="L137" s="15"/>
    </row>
    <row r="138" spans="11:12" x14ac:dyDescent="0.2">
      <c r="K138" s="15"/>
      <c r="L138" s="15"/>
    </row>
    <row r="307" spans="34:47" x14ac:dyDescent="0.2">
      <c r="AH307" s="108"/>
      <c r="AI307" s="108"/>
      <c r="AJ307" s="15"/>
      <c r="AK307" s="15"/>
      <c r="AL307" s="15"/>
    </row>
    <row r="308" spans="34:47" x14ac:dyDescent="0.2">
      <c r="AH308" s="108"/>
      <c r="AI308" s="108"/>
      <c r="AJ308" s="15"/>
      <c r="AK308" s="15"/>
      <c r="AL308" s="15"/>
      <c r="AU308" s="127"/>
    </row>
    <row r="310" spans="34:47" x14ac:dyDescent="0.2">
      <c r="AH310" s="108"/>
      <c r="AI310" s="108"/>
      <c r="AJ310" s="14"/>
      <c r="AK310" s="14"/>
      <c r="AL310" s="14"/>
    </row>
    <row r="311" spans="34:47" x14ac:dyDescent="0.2">
      <c r="AH311" s="108"/>
      <c r="AI311" s="108"/>
      <c r="AJ311" s="15"/>
      <c r="AK311" s="15"/>
      <c r="AL311" s="15"/>
    </row>
    <row r="312" spans="34:47" x14ac:dyDescent="0.2">
      <c r="AH312" s="108"/>
      <c r="AI312" s="108"/>
      <c r="AJ312" s="15"/>
      <c r="AK312" s="15"/>
      <c r="AL312" s="15"/>
    </row>
    <row r="313" spans="34:47" x14ac:dyDescent="0.2">
      <c r="AH313" s="108"/>
      <c r="AI313" s="108"/>
      <c r="AJ313" s="15"/>
      <c r="AK313" s="15"/>
      <c r="AL313" s="15"/>
    </row>
    <row r="314" spans="34:47" x14ac:dyDescent="0.2">
      <c r="AH314" s="108"/>
      <c r="AI314" s="108"/>
      <c r="AJ314" s="15"/>
      <c r="AK314" s="15"/>
      <c r="AL314" s="15"/>
    </row>
    <row r="316" spans="34:47" x14ac:dyDescent="0.2">
      <c r="AH316" s="108"/>
      <c r="AI316" s="108"/>
      <c r="AJ316" s="14"/>
      <c r="AK316" s="14"/>
      <c r="AL316" s="14"/>
    </row>
    <row r="317" spans="34:47" x14ac:dyDescent="0.2">
      <c r="AH317" s="108"/>
      <c r="AI317" s="108"/>
      <c r="AJ317" s="15"/>
      <c r="AK317" s="15"/>
      <c r="AL317" s="15"/>
    </row>
    <row r="318" spans="34:47" x14ac:dyDescent="0.2">
      <c r="AH318" s="108"/>
      <c r="AI318" s="108"/>
      <c r="AJ318" s="15"/>
      <c r="AK318" s="15"/>
      <c r="AL318" s="15"/>
    </row>
    <row r="319" spans="34:47" x14ac:dyDescent="0.2">
      <c r="AH319" s="108"/>
      <c r="AI319" s="108"/>
      <c r="AJ319" s="15"/>
      <c r="AK319" s="15"/>
      <c r="AL319" s="15"/>
    </row>
    <row r="320" spans="34:47" x14ac:dyDescent="0.2">
      <c r="AH320" s="108"/>
      <c r="AI320" s="108"/>
      <c r="AJ320" s="15"/>
      <c r="AK320" s="15"/>
      <c r="AL320" s="15"/>
    </row>
    <row r="322" spans="34:38" x14ac:dyDescent="0.2">
      <c r="AH322" s="108"/>
      <c r="AI322" s="108"/>
      <c r="AJ322" s="14"/>
      <c r="AK322" s="14"/>
      <c r="AL322" s="14"/>
    </row>
    <row r="323" spans="34:38" x14ac:dyDescent="0.2">
      <c r="AH323" s="108"/>
      <c r="AI323" s="108"/>
      <c r="AJ323" s="15"/>
      <c r="AK323" s="15"/>
      <c r="AL323" s="15"/>
    </row>
    <row r="324" spans="34:38" x14ac:dyDescent="0.2">
      <c r="AH324" s="108"/>
      <c r="AI324" s="108"/>
      <c r="AJ324" s="15"/>
      <c r="AK324" s="15"/>
      <c r="AL324" s="15"/>
    </row>
    <row r="325" spans="34:38" x14ac:dyDescent="0.2">
      <c r="AH325" s="108"/>
      <c r="AI325" s="108"/>
      <c r="AJ325" s="15"/>
      <c r="AK325" s="15"/>
      <c r="AL325" s="15"/>
    </row>
    <row r="326" spans="34:38" x14ac:dyDescent="0.2">
      <c r="AH326" s="108"/>
      <c r="AI326" s="108"/>
      <c r="AJ326" s="15"/>
      <c r="AK326" s="15"/>
      <c r="AL326" s="15"/>
    </row>
    <row r="328" spans="34:38" x14ac:dyDescent="0.2">
      <c r="AH328" s="108"/>
      <c r="AI328" s="108"/>
      <c r="AJ328" s="14"/>
      <c r="AK328" s="14"/>
      <c r="AL328" s="14"/>
    </row>
    <row r="329" spans="34:38" x14ac:dyDescent="0.2">
      <c r="AH329" s="108"/>
      <c r="AI329" s="108"/>
      <c r="AJ329" s="15"/>
      <c r="AK329" s="15"/>
      <c r="AL329" s="15"/>
    </row>
    <row r="330" spans="34:38" x14ac:dyDescent="0.2">
      <c r="AH330" s="108"/>
      <c r="AI330" s="108"/>
      <c r="AJ330" s="15"/>
      <c r="AK330" s="15"/>
      <c r="AL330" s="15"/>
    </row>
    <row r="331" spans="34:38" x14ac:dyDescent="0.2">
      <c r="AH331" s="108"/>
      <c r="AI331" s="108"/>
      <c r="AJ331" s="15"/>
      <c r="AK331" s="15"/>
      <c r="AL331" s="15"/>
    </row>
    <row r="332" spans="34:38" x14ac:dyDescent="0.2">
      <c r="AH332" s="108"/>
      <c r="AI332" s="108"/>
      <c r="AJ332" s="15"/>
      <c r="AK332" s="15"/>
      <c r="AL332" s="15"/>
    </row>
    <row r="334" spans="34:38" x14ac:dyDescent="0.2">
      <c r="AH334" s="108"/>
      <c r="AI334" s="108"/>
      <c r="AJ334" s="14"/>
      <c r="AK334" s="14"/>
      <c r="AL334" s="14"/>
    </row>
    <row r="335" spans="34:38" x14ac:dyDescent="0.2">
      <c r="AH335" s="108"/>
      <c r="AI335" s="108"/>
      <c r="AJ335" s="15"/>
      <c r="AK335" s="15"/>
      <c r="AL335" s="15"/>
    </row>
    <row r="336" spans="34:38" x14ac:dyDescent="0.2">
      <c r="AH336" s="108"/>
      <c r="AI336" s="108"/>
      <c r="AJ336" s="15"/>
      <c r="AK336" s="15"/>
      <c r="AL336" s="15"/>
    </row>
    <row r="337" spans="34:38" x14ac:dyDescent="0.2">
      <c r="AH337" s="108"/>
      <c r="AI337" s="108"/>
      <c r="AJ337" s="15"/>
      <c r="AK337" s="15"/>
      <c r="AL337" s="15"/>
    </row>
    <row r="338" spans="34:38" x14ac:dyDescent="0.2">
      <c r="AH338" s="108"/>
      <c r="AI338" s="108"/>
      <c r="AJ338" s="15"/>
      <c r="AK338" s="15"/>
      <c r="AL338" s="15"/>
    </row>
    <row r="340" spans="34:38" x14ac:dyDescent="0.2">
      <c r="AH340" s="108"/>
      <c r="AI340" s="108"/>
      <c r="AJ340" s="14"/>
      <c r="AK340" s="14"/>
      <c r="AL340" s="14"/>
    </row>
    <row r="341" spans="34:38" x14ac:dyDescent="0.2">
      <c r="AH341" s="108"/>
      <c r="AI341" s="108"/>
      <c r="AJ341" s="15"/>
      <c r="AK341" s="15"/>
      <c r="AL341" s="15"/>
    </row>
    <row r="342" spans="34:38" x14ac:dyDescent="0.2">
      <c r="AH342" s="108"/>
      <c r="AI342" s="108"/>
      <c r="AJ342" s="15"/>
      <c r="AK342" s="15"/>
      <c r="AL342" s="15"/>
    </row>
    <row r="343" spans="34:38" x14ac:dyDescent="0.2">
      <c r="AH343" s="108"/>
      <c r="AI343" s="108"/>
      <c r="AJ343" s="15"/>
      <c r="AK343" s="15"/>
      <c r="AL343" s="15"/>
    </row>
    <row r="344" spans="34:38" x14ac:dyDescent="0.2">
      <c r="AH344" s="108"/>
      <c r="AI344" s="108"/>
      <c r="AJ344" s="15"/>
      <c r="AK344" s="15"/>
      <c r="AL344" s="15"/>
    </row>
    <row r="345" spans="34:38" x14ac:dyDescent="0.2">
      <c r="AH345" s="108"/>
      <c r="AI345" s="108"/>
      <c r="AJ345" s="15"/>
      <c r="AK345" s="15"/>
      <c r="AL345" s="15"/>
    </row>
  </sheetData>
  <protectedRanges>
    <protectedRange sqref="M38:M45" name="Range5"/>
    <protectedRange sqref="I5:I7 I11:I18" name="Range4"/>
    <protectedRange sqref="D4:D8 D11 D13" name="Range1"/>
    <protectedRange sqref="D25 D28 D21:D23" name="Range2"/>
  </protectedRanges>
  <mergeCells count="48">
    <mergeCell ref="J5:L5"/>
    <mergeCell ref="J7:L7"/>
    <mergeCell ref="J11:L11"/>
    <mergeCell ref="J16:L16"/>
    <mergeCell ref="J6:L6"/>
    <mergeCell ref="D72:H72"/>
    <mergeCell ref="J12:L12"/>
    <mergeCell ref="J13:L13"/>
    <mergeCell ref="J14:L14"/>
    <mergeCell ref="J15:L15"/>
    <mergeCell ref="D66:R66"/>
    <mergeCell ref="D68:H68"/>
    <mergeCell ref="D69:H69"/>
    <mergeCell ref="D70:H70"/>
    <mergeCell ref="D71:H71"/>
    <mergeCell ref="D84:H84"/>
    <mergeCell ref="D73:H73"/>
    <mergeCell ref="D74:H74"/>
    <mergeCell ref="D75:H75"/>
    <mergeCell ref="D76:H76"/>
    <mergeCell ref="D77:H77"/>
    <mergeCell ref="D78:H78"/>
    <mergeCell ref="D79:H79"/>
    <mergeCell ref="D80:H80"/>
    <mergeCell ref="D81:H81"/>
    <mergeCell ref="D82:H82"/>
    <mergeCell ref="D83:H83"/>
    <mergeCell ref="D96:H96"/>
    <mergeCell ref="D85:H85"/>
    <mergeCell ref="D86:H86"/>
    <mergeCell ref="D87:H87"/>
    <mergeCell ref="D88:H88"/>
    <mergeCell ref="D89:H89"/>
    <mergeCell ref="D90:H90"/>
    <mergeCell ref="D91:H91"/>
    <mergeCell ref="D92:H92"/>
    <mergeCell ref="D93:H93"/>
    <mergeCell ref="D94:H94"/>
    <mergeCell ref="D95:H95"/>
    <mergeCell ref="D103:H103"/>
    <mergeCell ref="D104:H104"/>
    <mergeCell ref="D105:H105"/>
    <mergeCell ref="D97:H97"/>
    <mergeCell ref="D98:H98"/>
    <mergeCell ref="D99:H99"/>
    <mergeCell ref="D100:H100"/>
    <mergeCell ref="D101:H101"/>
    <mergeCell ref="D102:H102"/>
  </mergeCells>
  <phoneticPr fontId="1" type="noConversion"/>
  <pageMargins left="0.75" right="0.75" top="1" bottom="1" header="0.5" footer="0.5"/>
  <pageSetup orientation="portrait" horizontalDpi="4294967293" verticalDpi="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323" r:id="rId4" name="Button 59">
              <controlPr defaultSize="0" print="0" autoFill="0" autoPict="0" macro="[0]!Export">
                <anchor moveWithCells="1">
                  <from>
                    <xdr:col>11</xdr:col>
                    <xdr:colOff>133350</xdr:colOff>
                    <xdr:row>50</xdr:row>
                    <xdr:rowOff>104775</xdr:rowOff>
                  </from>
                  <to>
                    <xdr:col>12</xdr:col>
                    <xdr:colOff>819150</xdr:colOff>
                    <xdr:row>53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4" r:id="rId5" name="Button 60">
              <controlPr defaultSize="0" print="0" autoFill="0" autoPict="0" macro="[0]!Optimize">
                <anchor moveWithCells="1">
                  <from>
                    <xdr:col>11</xdr:col>
                    <xdr:colOff>171450</xdr:colOff>
                    <xdr:row>22</xdr:row>
                    <xdr:rowOff>47625</xdr:rowOff>
                  </from>
                  <to>
                    <xdr:col>13</xdr:col>
                    <xdr:colOff>19050</xdr:colOff>
                    <xdr:row>26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5:V113"/>
  <sheetViews>
    <sheetView workbookViewId="0">
      <selection activeCell="F58" sqref="F58"/>
    </sheetView>
  </sheetViews>
  <sheetFormatPr defaultRowHeight="12.75" x14ac:dyDescent="0.2"/>
  <sheetData>
    <row r="5" spans="1:22" x14ac:dyDescent="0.2">
      <c r="A5" s="12"/>
      <c r="B5" s="12"/>
      <c r="C5" s="14" t="s">
        <v>5</v>
      </c>
      <c r="D5" s="14" t="s">
        <v>6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2" x14ac:dyDescent="0.2">
      <c r="A6" s="12"/>
      <c r="B6" s="12"/>
      <c r="C6" s="15">
        <v>0</v>
      </c>
      <c r="D6" s="15">
        <v>0</v>
      </c>
      <c r="E6" s="12"/>
      <c r="F6" s="16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x14ac:dyDescent="0.2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</row>
    <row r="8" spans="1:22" x14ac:dyDescent="0.2">
      <c r="A8" s="12"/>
      <c r="B8" s="12"/>
      <c r="C8" s="22" t="s">
        <v>3</v>
      </c>
      <c r="D8" s="22" t="s">
        <v>4</v>
      </c>
      <c r="E8" s="22"/>
      <c r="F8" s="22" t="s">
        <v>3</v>
      </c>
      <c r="G8" s="22" t="s">
        <v>4</v>
      </c>
      <c r="H8" s="22"/>
      <c r="I8" s="22" t="s">
        <v>53</v>
      </c>
      <c r="J8" s="22" t="s">
        <v>54</v>
      </c>
      <c r="K8" s="22"/>
      <c r="L8" s="23"/>
      <c r="M8" s="23"/>
      <c r="N8" s="23"/>
      <c r="O8" s="23"/>
      <c r="P8" s="23"/>
      <c r="Q8" s="12"/>
      <c r="R8" s="12"/>
      <c r="S8" s="12"/>
      <c r="T8" s="12"/>
      <c r="U8" s="12"/>
      <c r="V8" s="12"/>
    </row>
    <row r="9" spans="1:22" x14ac:dyDescent="0.2">
      <c r="A9" s="25" t="str">
        <f>'ROAR TH'!J11</f>
        <v>Panel A</v>
      </c>
      <c r="B9" s="26"/>
      <c r="C9" s="143">
        <f>C27-'ROAR TH'!$D$28</f>
        <v>83.2</v>
      </c>
      <c r="D9" s="143">
        <f>D27-'ROAR TH'!$D$28</f>
        <v>83.2</v>
      </c>
      <c r="E9" s="29"/>
      <c r="F9" s="27">
        <f>IF('ROAR TH'!$I$11="x",C9,$C$6)</f>
        <v>83.2</v>
      </c>
      <c r="G9" s="27">
        <f>IF('ROAR TH'!$I$11="x",D9,$D$6)</f>
        <v>83.2</v>
      </c>
      <c r="H9" s="29"/>
      <c r="I9" s="27"/>
      <c r="J9" s="27"/>
      <c r="K9" s="29"/>
      <c r="L9" s="28"/>
      <c r="M9" s="30"/>
      <c r="N9" s="12"/>
      <c r="O9" s="12"/>
      <c r="P9" s="12"/>
      <c r="Q9" s="12"/>
      <c r="R9" s="12"/>
      <c r="S9" s="12"/>
      <c r="T9" s="12"/>
      <c r="U9" s="12"/>
      <c r="V9" s="12"/>
    </row>
    <row r="10" spans="1:22" x14ac:dyDescent="0.2">
      <c r="A10" s="32"/>
      <c r="B10" s="33"/>
      <c r="C10" s="144">
        <f>C9</f>
        <v>83.2</v>
      </c>
      <c r="D10" s="144">
        <f>D29+'ROAR TH'!$D$28</f>
        <v>1.8</v>
      </c>
      <c r="E10" s="36"/>
      <c r="F10" s="34">
        <f>IF('ROAR TH'!$I$11="x",C10,$C$6)</f>
        <v>83.2</v>
      </c>
      <c r="G10" s="34">
        <f>IF('ROAR TH'!$I$11="x",D10,$D$6)</f>
        <v>1.8</v>
      </c>
      <c r="H10" s="36"/>
      <c r="I10" s="35">
        <f t="shared" ref="I10:J13" si="0">C9-C10</f>
        <v>0</v>
      </c>
      <c r="J10" s="35">
        <f t="shared" si="0"/>
        <v>81.400000000000006</v>
      </c>
      <c r="K10" s="35">
        <f>(I10^2+J10^2)^0.5</f>
        <v>81.400000000000006</v>
      </c>
      <c r="L10" s="35"/>
      <c r="M10" s="37"/>
      <c r="N10" s="12"/>
      <c r="O10" s="12"/>
      <c r="P10" s="12"/>
      <c r="Q10" s="12"/>
      <c r="R10" s="12"/>
      <c r="S10" s="12"/>
      <c r="T10" s="12"/>
      <c r="U10" s="12"/>
      <c r="V10" s="12"/>
    </row>
    <row r="11" spans="1:22" x14ac:dyDescent="0.2">
      <c r="A11" s="32"/>
      <c r="B11" s="33"/>
      <c r="C11" s="144">
        <f>C10+'ROAR TH'!$D$28</f>
        <v>85</v>
      </c>
      <c r="D11" s="144">
        <f>D10</f>
        <v>1.8</v>
      </c>
      <c r="E11" s="36"/>
      <c r="F11" s="34">
        <f>IF('ROAR TH'!$I$11="x",C11,$C$6)</f>
        <v>85</v>
      </c>
      <c r="G11" s="34">
        <f>IF('ROAR TH'!$I$11="x",D11,$D$6)</f>
        <v>1.8</v>
      </c>
      <c r="H11" s="36"/>
      <c r="I11" s="35">
        <f t="shared" si="0"/>
        <v>-1.7999999999999972</v>
      </c>
      <c r="J11" s="35">
        <f t="shared" si="0"/>
        <v>0</v>
      </c>
      <c r="K11" s="35">
        <f>(I11^2+J11^2)^0.5</f>
        <v>1.7999999999999972</v>
      </c>
      <c r="L11" s="35"/>
      <c r="M11" s="37"/>
      <c r="N11" s="12"/>
      <c r="O11" s="12"/>
      <c r="P11" s="12"/>
      <c r="Q11" s="12"/>
      <c r="R11" s="12"/>
      <c r="S11" s="12"/>
      <c r="T11" s="12"/>
      <c r="U11" s="12"/>
      <c r="V11" s="12"/>
    </row>
    <row r="12" spans="1:22" x14ac:dyDescent="0.2">
      <c r="A12" s="32"/>
      <c r="B12" s="33"/>
      <c r="C12" s="144">
        <f>C11</f>
        <v>85</v>
      </c>
      <c r="D12" s="144">
        <f>D9</f>
        <v>83.2</v>
      </c>
      <c r="E12" s="33"/>
      <c r="F12" s="34">
        <f>IF('ROAR TH'!$I$11="x",C12,$C$6)</f>
        <v>85</v>
      </c>
      <c r="G12" s="34">
        <f>IF('ROAR TH'!$I$11="x",D12,$D$6)</f>
        <v>83.2</v>
      </c>
      <c r="H12" s="36"/>
      <c r="I12" s="35">
        <f t="shared" si="0"/>
        <v>0</v>
      </c>
      <c r="J12" s="35">
        <f t="shared" si="0"/>
        <v>-81.400000000000006</v>
      </c>
      <c r="K12" s="35">
        <f>(I12^2+J12^2)^0.5</f>
        <v>81.400000000000006</v>
      </c>
      <c r="L12" s="35"/>
      <c r="M12" s="37"/>
      <c r="N12" s="12"/>
      <c r="O12" s="12"/>
      <c r="P12" s="12"/>
      <c r="Q12" s="12"/>
      <c r="R12" s="12"/>
      <c r="S12" s="12"/>
      <c r="T12" s="12"/>
      <c r="U12" s="12"/>
      <c r="V12" s="12"/>
    </row>
    <row r="13" spans="1:22" x14ac:dyDescent="0.2">
      <c r="A13" s="44"/>
      <c r="B13" s="45"/>
      <c r="C13" s="145">
        <f>C9</f>
        <v>83.2</v>
      </c>
      <c r="D13" s="145">
        <f>D9</f>
        <v>83.2</v>
      </c>
      <c r="E13" s="45"/>
      <c r="F13" s="46">
        <f>IF('ROAR TH'!$I$11="x",C13,$C$6)</f>
        <v>83.2</v>
      </c>
      <c r="G13" s="46">
        <f>IF('ROAR TH'!$I$11="x",D13,$D$6)</f>
        <v>83.2</v>
      </c>
      <c r="H13" s="45"/>
      <c r="I13" s="47">
        <f t="shared" si="0"/>
        <v>1.7999999999999972</v>
      </c>
      <c r="J13" s="47">
        <f t="shared" si="0"/>
        <v>0</v>
      </c>
      <c r="K13" s="47">
        <f>(I13^2+J13^2)^0.5</f>
        <v>1.7999999999999972</v>
      </c>
      <c r="L13" s="45"/>
      <c r="M13" s="48"/>
      <c r="N13" s="12"/>
      <c r="O13" s="12"/>
      <c r="P13" s="12"/>
      <c r="Q13" s="12"/>
      <c r="R13" s="12"/>
      <c r="S13" s="12"/>
      <c r="T13" s="12"/>
      <c r="U13" s="12"/>
      <c r="V13" s="12"/>
    </row>
    <row r="14" spans="1:22" x14ac:dyDescent="0.2">
      <c r="A14" s="12"/>
      <c r="B14" s="12"/>
      <c r="C14" s="146"/>
      <c r="D14" s="146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</row>
    <row r="15" spans="1:22" x14ac:dyDescent="0.2">
      <c r="A15" s="25" t="str">
        <f>'ROAR TH'!J11</f>
        <v>Panel A</v>
      </c>
      <c r="B15" s="26"/>
      <c r="C15" s="143">
        <f>C28</f>
        <v>0</v>
      </c>
      <c r="D15" s="143">
        <f>D9</f>
        <v>83.2</v>
      </c>
      <c r="E15" s="29"/>
      <c r="F15" s="27">
        <f>IF('ROAR TH'!$I$11="x",C15,$C$6)</f>
        <v>0</v>
      </c>
      <c r="G15" s="27">
        <f>IF('ROAR TH'!$I$11="x",D15,$D$6)</f>
        <v>83.2</v>
      </c>
      <c r="H15" s="29"/>
      <c r="I15" s="27"/>
      <c r="J15" s="27"/>
      <c r="K15" s="29"/>
      <c r="L15" s="28"/>
      <c r="M15" s="30"/>
      <c r="N15" s="12"/>
      <c r="O15" s="12"/>
      <c r="P15" s="12"/>
      <c r="Q15" s="12"/>
      <c r="R15" s="12"/>
      <c r="S15" s="12"/>
      <c r="T15" s="12"/>
      <c r="U15" s="12"/>
      <c r="V15" s="12"/>
    </row>
    <row r="16" spans="1:22" x14ac:dyDescent="0.2">
      <c r="A16" s="32"/>
      <c r="B16" s="33"/>
      <c r="C16" s="144">
        <f>C15</f>
        <v>0</v>
      </c>
      <c r="D16" s="144">
        <f>D35</f>
        <v>1.8</v>
      </c>
      <c r="E16" s="36"/>
      <c r="F16" s="34">
        <f>IF('ROAR TH'!$I$11="x",C16,$C$6)</f>
        <v>0</v>
      </c>
      <c r="G16" s="34">
        <f>IF('ROAR TH'!$I$11="x",D16,$D$6)</f>
        <v>1.8</v>
      </c>
      <c r="H16" s="36"/>
      <c r="I16" s="35">
        <f t="shared" ref="I16:J19" si="1">C15-C16</f>
        <v>0</v>
      </c>
      <c r="J16" s="35">
        <f t="shared" si="1"/>
        <v>81.400000000000006</v>
      </c>
      <c r="K16" s="35">
        <f>(I16^2+J16^2)^0.5</f>
        <v>81.400000000000006</v>
      </c>
      <c r="L16" s="35"/>
      <c r="M16" s="37"/>
      <c r="N16" s="12"/>
      <c r="O16" s="12"/>
      <c r="P16" s="12"/>
      <c r="Q16" s="12"/>
      <c r="R16" s="12"/>
      <c r="S16" s="12"/>
      <c r="T16" s="12"/>
      <c r="U16" s="12"/>
      <c r="V16" s="12"/>
    </row>
    <row r="17" spans="1:22" x14ac:dyDescent="0.2">
      <c r="A17" s="32"/>
      <c r="B17" s="33"/>
      <c r="C17" s="144">
        <f>C16+'ROAR TH'!$D$28</f>
        <v>1.8</v>
      </c>
      <c r="D17" s="144">
        <f>D16</f>
        <v>1.8</v>
      </c>
      <c r="E17" s="36"/>
      <c r="F17" s="34">
        <f>IF('ROAR TH'!$I$11="x",C17,$C$6)</f>
        <v>1.8</v>
      </c>
      <c r="G17" s="34">
        <f>IF('ROAR TH'!$I$11="x",D17,$D$6)</f>
        <v>1.8</v>
      </c>
      <c r="H17" s="36"/>
      <c r="I17" s="35">
        <f t="shared" si="1"/>
        <v>-1.8</v>
      </c>
      <c r="J17" s="35">
        <f t="shared" si="1"/>
        <v>0</v>
      </c>
      <c r="K17" s="35">
        <f>(I17^2+J17^2)^0.5</f>
        <v>1.8</v>
      </c>
      <c r="L17" s="35"/>
      <c r="M17" s="37"/>
      <c r="N17" s="12"/>
      <c r="O17" s="12"/>
      <c r="P17" s="12"/>
      <c r="Q17" s="12"/>
      <c r="R17" s="12"/>
      <c r="S17" s="12"/>
      <c r="T17" s="12"/>
      <c r="U17" s="12"/>
      <c r="V17" s="12"/>
    </row>
    <row r="18" spans="1:22" x14ac:dyDescent="0.2">
      <c r="A18" s="32"/>
      <c r="B18" s="33"/>
      <c r="C18" s="144">
        <f>C17</f>
        <v>1.8</v>
      </c>
      <c r="D18" s="144">
        <f>D15</f>
        <v>83.2</v>
      </c>
      <c r="E18" s="33"/>
      <c r="F18" s="34">
        <f>IF('ROAR TH'!$I$11="x",C18,$C$6)</f>
        <v>1.8</v>
      </c>
      <c r="G18" s="34">
        <f>IF('ROAR TH'!$I$11="x",D18,$D$6)</f>
        <v>83.2</v>
      </c>
      <c r="H18" s="36"/>
      <c r="I18" s="35">
        <f t="shared" si="1"/>
        <v>0</v>
      </c>
      <c r="J18" s="35">
        <f t="shared" si="1"/>
        <v>-81.400000000000006</v>
      </c>
      <c r="K18" s="35">
        <f>(I18^2+J18^2)^0.5</f>
        <v>81.400000000000006</v>
      </c>
      <c r="L18" s="35"/>
      <c r="M18" s="37"/>
      <c r="N18" s="12"/>
      <c r="O18" s="12"/>
      <c r="P18" s="12"/>
      <c r="Q18" s="12"/>
      <c r="R18" s="12"/>
      <c r="S18" s="12"/>
      <c r="T18" s="12"/>
      <c r="U18" s="12"/>
      <c r="V18" s="12"/>
    </row>
    <row r="19" spans="1:22" x14ac:dyDescent="0.2">
      <c r="A19" s="44"/>
      <c r="B19" s="45"/>
      <c r="C19" s="145">
        <f>C15</f>
        <v>0</v>
      </c>
      <c r="D19" s="145">
        <f>D15</f>
        <v>83.2</v>
      </c>
      <c r="E19" s="45"/>
      <c r="F19" s="46">
        <f>IF('ROAR TH'!$I$11="x",C19,$C$6)</f>
        <v>0</v>
      </c>
      <c r="G19" s="46">
        <f>IF('ROAR TH'!$I$11="x",D19,$D$6)</f>
        <v>83.2</v>
      </c>
      <c r="H19" s="45"/>
      <c r="I19" s="47">
        <f t="shared" si="1"/>
        <v>1.8</v>
      </c>
      <c r="J19" s="47">
        <f t="shared" si="1"/>
        <v>0</v>
      </c>
      <c r="K19" s="47">
        <f>(I19^2+J19^2)^0.5</f>
        <v>1.8</v>
      </c>
      <c r="L19" s="45"/>
      <c r="M19" s="48"/>
      <c r="N19" s="12"/>
      <c r="O19" s="12"/>
      <c r="P19" s="12"/>
      <c r="Q19" s="12"/>
      <c r="R19" s="12"/>
      <c r="S19" s="12"/>
      <c r="T19" s="12"/>
      <c r="U19" s="12"/>
      <c r="V19" s="12"/>
    </row>
    <row r="20" spans="1:22" x14ac:dyDescent="0.2">
      <c r="A20" s="12"/>
      <c r="B20" s="12"/>
      <c r="C20" s="146"/>
      <c r="D20" s="146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1:22" x14ac:dyDescent="0.2">
      <c r="A21" s="25" t="str">
        <f>'ROAR TH'!J12</f>
        <v>Panel B (center)</v>
      </c>
      <c r="B21" s="26"/>
      <c r="C21" s="143">
        <f>(C27+'ROAR TH'!$D$28)/2</f>
        <v>43.4</v>
      </c>
      <c r="D21" s="143">
        <f>D29+'ROAR TH'!$D$28</f>
        <v>1.8</v>
      </c>
      <c r="E21" s="29"/>
      <c r="F21" s="27">
        <f>IF('ROAR TH'!$I$12="x",C21,$C$6)</f>
        <v>43.4</v>
      </c>
      <c r="G21" s="27">
        <f>IF('ROAR TH'!$I$12="x",D21,$D$6)</f>
        <v>1.8</v>
      </c>
      <c r="H21" s="29"/>
      <c r="I21" s="28"/>
      <c r="J21" s="28"/>
      <c r="K21" s="28"/>
      <c r="L21" s="28"/>
      <c r="M21" s="30"/>
      <c r="N21" s="12"/>
      <c r="O21" s="12"/>
      <c r="P21" s="12"/>
      <c r="Q21" s="12"/>
      <c r="R21" s="12"/>
      <c r="S21" s="12"/>
      <c r="T21" s="12"/>
      <c r="U21" s="12"/>
      <c r="V21" s="12"/>
    </row>
    <row r="22" spans="1:22" x14ac:dyDescent="0.2">
      <c r="A22" s="32"/>
      <c r="B22" s="33"/>
      <c r="C22" s="144">
        <f>C21</f>
        <v>43.4</v>
      </c>
      <c r="D22" s="144">
        <f>D21+'ROAR TH'!H39</f>
        <v>8.3000000000000007</v>
      </c>
      <c r="E22" s="36"/>
      <c r="F22" s="34">
        <f>IF('ROAR TH'!$I$12="x",C22,$C$6)</f>
        <v>43.4</v>
      </c>
      <c r="G22" s="34">
        <f>IF('ROAR TH'!$I$12="x",D22,$D$6)</f>
        <v>8.3000000000000007</v>
      </c>
      <c r="H22" s="36"/>
      <c r="I22" s="35">
        <f t="shared" ref="I22:J25" si="2">C21-C22</f>
        <v>0</v>
      </c>
      <c r="J22" s="35">
        <f t="shared" si="2"/>
        <v>-6.5000000000000009</v>
      </c>
      <c r="K22" s="35">
        <f>(I22^2+J22^2)^0.5</f>
        <v>6.5000000000000009</v>
      </c>
      <c r="L22" s="35"/>
      <c r="M22" s="37"/>
      <c r="N22" s="12"/>
      <c r="O22" s="12"/>
      <c r="P22" s="12"/>
      <c r="Q22" s="12"/>
      <c r="R22" s="12"/>
      <c r="S22" s="12"/>
      <c r="T22" s="12"/>
      <c r="U22" s="12"/>
      <c r="V22" s="12"/>
    </row>
    <row r="23" spans="1:22" x14ac:dyDescent="0.2">
      <c r="A23" s="32"/>
      <c r="B23" s="33"/>
      <c r="C23" s="144">
        <f>C22-'ROAR TH'!$D$28</f>
        <v>41.6</v>
      </c>
      <c r="D23" s="144">
        <f>D22</f>
        <v>8.3000000000000007</v>
      </c>
      <c r="E23" s="33"/>
      <c r="F23" s="34">
        <f>IF('ROAR TH'!$I$12="x",C23,$C$6)</f>
        <v>41.6</v>
      </c>
      <c r="G23" s="34">
        <f>IF('ROAR TH'!$I$12="x",D23,$D$6)</f>
        <v>8.3000000000000007</v>
      </c>
      <c r="H23" s="36"/>
      <c r="I23" s="35">
        <f t="shared" si="2"/>
        <v>1.7999999999999972</v>
      </c>
      <c r="J23" s="35">
        <f t="shared" si="2"/>
        <v>0</v>
      </c>
      <c r="K23" s="35">
        <f>(I23^2+J23^2)^0.5</f>
        <v>1.7999999999999972</v>
      </c>
      <c r="L23" s="35"/>
      <c r="M23" s="37"/>
      <c r="N23" s="12"/>
      <c r="O23" s="12"/>
      <c r="P23" s="12"/>
      <c r="Q23" s="12"/>
      <c r="R23" s="12"/>
      <c r="S23" s="12"/>
      <c r="T23" s="12"/>
      <c r="U23" s="12"/>
      <c r="V23" s="12"/>
    </row>
    <row r="24" spans="1:22" x14ac:dyDescent="0.2">
      <c r="A24" s="32"/>
      <c r="B24" s="33"/>
      <c r="C24" s="144">
        <f>C23</f>
        <v>41.6</v>
      </c>
      <c r="D24" s="144">
        <f>D21</f>
        <v>1.8</v>
      </c>
      <c r="E24" s="33"/>
      <c r="F24" s="34">
        <f>IF('ROAR TH'!$I$12="x",C24,$C$6)</f>
        <v>41.6</v>
      </c>
      <c r="G24" s="34">
        <f>IF('ROAR TH'!$I$12="x",D24,$D$6)</f>
        <v>1.8</v>
      </c>
      <c r="H24" s="36"/>
      <c r="I24" s="35">
        <f t="shared" si="2"/>
        <v>0</v>
      </c>
      <c r="J24" s="35">
        <f t="shared" si="2"/>
        <v>6.5000000000000009</v>
      </c>
      <c r="K24" s="35">
        <f>(I24^2+J24^2)^0.5</f>
        <v>6.5000000000000009</v>
      </c>
      <c r="L24" s="35"/>
      <c r="M24" s="37"/>
      <c r="N24" s="12"/>
      <c r="O24" s="12"/>
      <c r="P24" s="12"/>
      <c r="Q24" s="12"/>
      <c r="R24" s="12"/>
      <c r="S24" s="12"/>
      <c r="T24" s="12"/>
      <c r="U24" s="12"/>
      <c r="V24" s="12"/>
    </row>
    <row r="25" spans="1:22" x14ac:dyDescent="0.2">
      <c r="A25" s="44"/>
      <c r="B25" s="45"/>
      <c r="C25" s="145">
        <f>C21</f>
        <v>43.4</v>
      </c>
      <c r="D25" s="145">
        <f>D24</f>
        <v>1.8</v>
      </c>
      <c r="E25" s="45"/>
      <c r="F25" s="46">
        <f>IF('ROAR TH'!$I$12="x",C25,$C$6)</f>
        <v>43.4</v>
      </c>
      <c r="G25" s="46">
        <f>IF('ROAR TH'!$I$12="x",D25,$D$6)</f>
        <v>1.8</v>
      </c>
      <c r="H25" s="45"/>
      <c r="I25" s="47">
        <f t="shared" si="2"/>
        <v>-1.7999999999999972</v>
      </c>
      <c r="J25" s="47">
        <f t="shared" si="2"/>
        <v>0</v>
      </c>
      <c r="K25" s="47">
        <f>(I25^2+J25^2)^0.5</f>
        <v>1.7999999999999972</v>
      </c>
      <c r="L25" s="45"/>
      <c r="M25" s="48"/>
      <c r="N25" s="12"/>
      <c r="O25" s="12"/>
      <c r="P25" s="12"/>
      <c r="Q25" s="12"/>
      <c r="R25" s="12"/>
      <c r="S25" s="12"/>
      <c r="T25" s="12"/>
      <c r="U25" s="12"/>
      <c r="V25" s="12"/>
    </row>
    <row r="26" spans="1:22" x14ac:dyDescent="0.2">
      <c r="A26" s="12"/>
      <c r="B26" s="12"/>
      <c r="C26" s="146"/>
      <c r="D26" s="146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x14ac:dyDescent="0.2">
      <c r="A27" s="25" t="str">
        <f>'ROAR TH'!J13</f>
        <v>Panel C</v>
      </c>
      <c r="B27" s="26"/>
      <c r="C27" s="143">
        <f>'ROAR TH'!D23+$C$6</f>
        <v>85</v>
      </c>
      <c r="D27" s="143">
        <f>'ROAR TH'!D21</f>
        <v>85</v>
      </c>
      <c r="E27" s="29"/>
      <c r="F27" s="27">
        <f>IF('ROAR TH'!$I$13="x",C27,$C$6)</f>
        <v>85</v>
      </c>
      <c r="G27" s="27">
        <f>IF('ROAR TH'!$I$13="x",D27,$D$6)</f>
        <v>85</v>
      </c>
      <c r="H27" s="29"/>
      <c r="I27" s="28"/>
      <c r="J27" s="28"/>
      <c r="K27" s="28"/>
      <c r="L27" s="28"/>
      <c r="M27" s="30"/>
      <c r="N27" s="12"/>
      <c r="O27" s="12"/>
      <c r="P27" s="12"/>
      <c r="Q27" s="12"/>
      <c r="R27" s="12"/>
      <c r="S27" s="12"/>
      <c r="T27" s="12"/>
      <c r="U27" s="12"/>
      <c r="V27" s="12"/>
    </row>
    <row r="28" spans="1:22" x14ac:dyDescent="0.2">
      <c r="A28" s="32"/>
      <c r="B28" s="33"/>
      <c r="C28" s="144">
        <f>C6</f>
        <v>0</v>
      </c>
      <c r="D28" s="144">
        <f>D27</f>
        <v>85</v>
      </c>
      <c r="E28" s="36"/>
      <c r="F28" s="34">
        <f>IF('ROAR TH'!$I$13="x",C28,$C$6)</f>
        <v>0</v>
      </c>
      <c r="G28" s="34">
        <f>IF('ROAR TH'!$I$13="x",D28,$D$6)</f>
        <v>85</v>
      </c>
      <c r="H28" s="36"/>
      <c r="I28" s="35">
        <f t="shared" ref="I28:J31" si="3">C27-C28</f>
        <v>85</v>
      </c>
      <c r="J28" s="35">
        <f t="shared" si="3"/>
        <v>0</v>
      </c>
      <c r="K28" s="35">
        <f>(I28^2+J28^2)^0.5</f>
        <v>85</v>
      </c>
      <c r="L28" s="35"/>
      <c r="M28" s="37"/>
      <c r="N28" s="12"/>
      <c r="O28" s="12"/>
      <c r="P28" s="12"/>
      <c r="Q28" s="12"/>
      <c r="R28" s="12"/>
      <c r="S28" s="12"/>
      <c r="T28" s="12"/>
      <c r="U28" s="12"/>
      <c r="V28" s="12"/>
    </row>
    <row r="29" spans="1:22" x14ac:dyDescent="0.2">
      <c r="A29" s="32"/>
      <c r="B29" s="33"/>
      <c r="C29" s="144">
        <f>C28</f>
        <v>0</v>
      </c>
      <c r="D29" s="144">
        <f>D6</f>
        <v>0</v>
      </c>
      <c r="E29" s="36"/>
      <c r="F29" s="34">
        <f>IF('ROAR TH'!$I$13="x",C29,$C$6)</f>
        <v>0</v>
      </c>
      <c r="G29" s="34">
        <f>IF('ROAR TH'!$I$13="x",D29,$D$6)</f>
        <v>0</v>
      </c>
      <c r="H29" s="36"/>
      <c r="I29" s="35">
        <f t="shared" si="3"/>
        <v>0</v>
      </c>
      <c r="J29" s="35">
        <f t="shared" si="3"/>
        <v>85</v>
      </c>
      <c r="K29" s="35">
        <f>(I29^2+J29^2)^0.5</f>
        <v>85</v>
      </c>
      <c r="L29" s="35"/>
      <c r="M29" s="37"/>
      <c r="N29" s="12"/>
      <c r="O29" s="12"/>
      <c r="P29" s="12"/>
      <c r="Q29" s="12"/>
      <c r="R29" s="12"/>
      <c r="S29" s="12"/>
      <c r="T29" s="12"/>
      <c r="U29" s="12"/>
      <c r="V29" s="12"/>
    </row>
    <row r="30" spans="1:22" x14ac:dyDescent="0.2">
      <c r="A30" s="32"/>
      <c r="B30" s="33"/>
      <c r="C30" s="144">
        <f>C27</f>
        <v>85</v>
      </c>
      <c r="D30" s="144">
        <f>D29</f>
        <v>0</v>
      </c>
      <c r="E30" s="36"/>
      <c r="F30" s="34">
        <f>IF('ROAR TH'!$I$13="x",C30,$C$6)</f>
        <v>85</v>
      </c>
      <c r="G30" s="34">
        <f>IF('ROAR TH'!$I$13="x",D30,$D$6)</f>
        <v>0</v>
      </c>
      <c r="H30" s="36"/>
      <c r="I30" s="35">
        <f t="shared" si="3"/>
        <v>-85</v>
      </c>
      <c r="J30" s="35">
        <f t="shared" si="3"/>
        <v>0</v>
      </c>
      <c r="K30" s="35">
        <f>(I30^2+J30^2)^0.5</f>
        <v>85</v>
      </c>
      <c r="L30" s="35"/>
      <c r="M30" s="37"/>
      <c r="N30" s="12"/>
      <c r="O30" s="12"/>
      <c r="P30" s="12"/>
      <c r="Q30" s="12"/>
      <c r="R30" s="12"/>
      <c r="S30" s="12"/>
      <c r="T30" s="12"/>
      <c r="U30" s="12"/>
      <c r="V30" s="12"/>
    </row>
    <row r="31" spans="1:22" x14ac:dyDescent="0.2">
      <c r="A31" s="44"/>
      <c r="B31" s="45"/>
      <c r="C31" s="145">
        <f>C27</f>
        <v>85</v>
      </c>
      <c r="D31" s="145">
        <f>D27</f>
        <v>85</v>
      </c>
      <c r="E31" s="45"/>
      <c r="F31" s="46">
        <f>IF('ROAR TH'!$I$13="x",C31,$C$6)</f>
        <v>85</v>
      </c>
      <c r="G31" s="46">
        <f>IF('ROAR TH'!$I$13="x",D31,$D$6)</f>
        <v>85</v>
      </c>
      <c r="H31" s="45"/>
      <c r="I31" s="47">
        <f t="shared" si="3"/>
        <v>0</v>
      </c>
      <c r="J31" s="47">
        <f t="shared" si="3"/>
        <v>-85</v>
      </c>
      <c r="K31" s="47">
        <f>(I31^2+J31^2)^0.5</f>
        <v>85</v>
      </c>
      <c r="L31" s="45"/>
      <c r="M31" s="48"/>
      <c r="N31" s="12"/>
      <c r="O31" s="12"/>
      <c r="P31" s="12"/>
      <c r="Q31" s="12"/>
      <c r="R31" s="12"/>
      <c r="S31" s="12"/>
      <c r="T31" s="12"/>
      <c r="U31" s="12"/>
      <c r="V31" s="12"/>
    </row>
    <row r="32" spans="1:22" x14ac:dyDescent="0.2">
      <c r="A32" s="12"/>
      <c r="B32" s="12"/>
      <c r="C32" s="146"/>
      <c r="D32" s="146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</row>
    <row r="33" spans="1:22" x14ac:dyDescent="0.2">
      <c r="A33" s="25" t="str">
        <f>'ROAR TH'!J14</f>
        <v>Panel D</v>
      </c>
      <c r="B33" s="26"/>
      <c r="C33" s="143">
        <f>C28</f>
        <v>0</v>
      </c>
      <c r="D33" s="143">
        <f>D29</f>
        <v>0</v>
      </c>
      <c r="E33" s="29"/>
      <c r="F33" s="27">
        <f>IF('ROAR TH'!$I$14="x",C33,$C$6)</f>
        <v>0</v>
      </c>
      <c r="G33" s="27">
        <f>IF('ROAR TH'!$I$14="x",D33,$D$6)</f>
        <v>0</v>
      </c>
      <c r="H33" s="29"/>
      <c r="I33" s="28"/>
      <c r="J33" s="28"/>
      <c r="K33" s="28"/>
      <c r="L33" s="28"/>
      <c r="M33" s="30"/>
      <c r="N33" s="12"/>
      <c r="O33" s="12"/>
      <c r="P33" s="12"/>
      <c r="Q33" s="12"/>
      <c r="R33" s="12"/>
      <c r="S33" s="12"/>
      <c r="T33" s="12"/>
      <c r="U33" s="12"/>
      <c r="V33" s="12"/>
    </row>
    <row r="34" spans="1:22" x14ac:dyDescent="0.2">
      <c r="A34" s="32"/>
      <c r="B34" s="33"/>
      <c r="C34" s="144">
        <f>C27</f>
        <v>85</v>
      </c>
      <c r="D34" s="144">
        <f>D33</f>
        <v>0</v>
      </c>
      <c r="E34" s="36"/>
      <c r="F34" s="34">
        <f>IF('ROAR TH'!$I$14="x",C34,$C$6)</f>
        <v>85</v>
      </c>
      <c r="G34" s="34">
        <f>IF('ROAR TH'!$I$14="x",D34,$D$6)</f>
        <v>0</v>
      </c>
      <c r="H34" s="36"/>
      <c r="I34" s="35">
        <f t="shared" ref="I34:J37" si="4">C33-C34</f>
        <v>-85</v>
      </c>
      <c r="J34" s="35">
        <f t="shared" si="4"/>
        <v>0</v>
      </c>
      <c r="K34" s="35">
        <f>(I34^2+J34^2)^0.5</f>
        <v>85</v>
      </c>
      <c r="L34" s="35"/>
      <c r="M34" s="37"/>
      <c r="N34" s="12"/>
      <c r="O34" s="12"/>
      <c r="P34" s="12"/>
      <c r="Q34" s="12"/>
      <c r="R34" s="12"/>
      <c r="S34" s="12"/>
      <c r="T34" s="12"/>
      <c r="U34" s="12"/>
      <c r="V34" s="12"/>
    </row>
    <row r="35" spans="1:22" x14ac:dyDescent="0.2">
      <c r="A35" s="32"/>
      <c r="B35" s="33"/>
      <c r="C35" s="144">
        <f>C34</f>
        <v>85</v>
      </c>
      <c r="D35" s="144">
        <f>D29+'ROAR TH'!$D$28</f>
        <v>1.8</v>
      </c>
      <c r="E35" s="36"/>
      <c r="F35" s="34">
        <f>IF('ROAR TH'!$I$14="x",C35,$C$6)</f>
        <v>85</v>
      </c>
      <c r="G35" s="34">
        <f>IF('ROAR TH'!$I$14="x",D35,$D$6)</f>
        <v>1.8</v>
      </c>
      <c r="H35" s="36"/>
      <c r="I35" s="35">
        <f t="shared" si="4"/>
        <v>0</v>
      </c>
      <c r="J35" s="35">
        <f t="shared" si="4"/>
        <v>-1.8</v>
      </c>
      <c r="K35" s="35">
        <f>(I35^2+J35^2)^0.5</f>
        <v>1.8</v>
      </c>
      <c r="L35" s="35"/>
      <c r="M35" s="37"/>
      <c r="N35" s="12"/>
      <c r="O35" s="12"/>
      <c r="P35" s="12"/>
      <c r="Q35" s="12"/>
      <c r="R35" s="12"/>
      <c r="S35" s="12"/>
      <c r="T35" s="12"/>
      <c r="U35" s="12"/>
      <c r="V35" s="12"/>
    </row>
    <row r="36" spans="1:22" x14ac:dyDescent="0.2">
      <c r="A36" s="32"/>
      <c r="B36" s="33"/>
      <c r="C36" s="144">
        <f>C33</f>
        <v>0</v>
      </c>
      <c r="D36" s="144">
        <f>D35</f>
        <v>1.8</v>
      </c>
      <c r="E36" s="36"/>
      <c r="F36" s="34">
        <f>IF('ROAR TH'!$I$14="x",C36,$C$6)</f>
        <v>0</v>
      </c>
      <c r="G36" s="34">
        <f>IF('ROAR TH'!$I$14="x",D36,$D$6)</f>
        <v>1.8</v>
      </c>
      <c r="H36" s="36"/>
      <c r="I36" s="35">
        <f t="shared" si="4"/>
        <v>85</v>
      </c>
      <c r="J36" s="35">
        <f t="shared" si="4"/>
        <v>0</v>
      </c>
      <c r="K36" s="35">
        <f>(I36^2+J36^2)^0.5</f>
        <v>85</v>
      </c>
      <c r="L36" s="35"/>
      <c r="M36" s="37"/>
      <c r="N36" s="12"/>
      <c r="O36" s="12"/>
      <c r="P36" s="12"/>
      <c r="Q36" s="12"/>
      <c r="R36" s="12"/>
      <c r="S36" s="12"/>
      <c r="T36" s="12"/>
      <c r="U36" s="12"/>
      <c r="V36" s="12"/>
    </row>
    <row r="37" spans="1:22" x14ac:dyDescent="0.2">
      <c r="A37" s="44"/>
      <c r="B37" s="45"/>
      <c r="C37" s="145">
        <f>C33</f>
        <v>0</v>
      </c>
      <c r="D37" s="145">
        <f>D33</f>
        <v>0</v>
      </c>
      <c r="E37" s="81"/>
      <c r="F37" s="46">
        <f>IF('ROAR TH'!$I$14="x",C37,$C$6)</f>
        <v>0</v>
      </c>
      <c r="G37" s="46">
        <f>IF('ROAR TH'!$I$14="x",D37,$D$6)</f>
        <v>0</v>
      </c>
      <c r="H37" s="81"/>
      <c r="I37" s="47">
        <f t="shared" si="4"/>
        <v>0</v>
      </c>
      <c r="J37" s="47">
        <f t="shared" si="4"/>
        <v>1.8</v>
      </c>
      <c r="K37" s="47">
        <f>(I37^2+J37^2)^0.5</f>
        <v>1.8</v>
      </c>
      <c r="L37" s="45"/>
      <c r="M37" s="48"/>
      <c r="N37" s="12"/>
      <c r="O37" s="12"/>
      <c r="P37" s="12"/>
      <c r="Q37" s="12"/>
      <c r="R37" s="12"/>
      <c r="S37" s="12"/>
      <c r="T37" s="12"/>
      <c r="U37" s="12"/>
      <c r="V37" s="12"/>
    </row>
    <row r="38" spans="1:22" x14ac:dyDescent="0.2">
      <c r="A38" s="12"/>
      <c r="B38" s="12"/>
      <c r="C38" s="146"/>
      <c r="D38" s="146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1:22" x14ac:dyDescent="0.2">
      <c r="A39" s="25" t="str">
        <f>'ROAR TH'!J15</f>
        <v>Panel E</v>
      </c>
      <c r="B39" s="26"/>
      <c r="C39" s="143">
        <f>C31</f>
        <v>85</v>
      </c>
      <c r="D39" s="143">
        <f>D27</f>
        <v>85</v>
      </c>
      <c r="E39" s="29"/>
      <c r="F39" s="27">
        <f>IF('ROAR TH'!$I$15="x",C39,$C$6)</f>
        <v>85</v>
      </c>
      <c r="G39" s="27">
        <f>IF('ROAR TH'!$I$15="x",D39,$C$6)</f>
        <v>85</v>
      </c>
      <c r="H39" s="29"/>
      <c r="I39" s="28"/>
      <c r="J39" s="28"/>
      <c r="K39" s="28"/>
      <c r="L39" s="28"/>
      <c r="M39" s="30"/>
      <c r="N39" s="12"/>
      <c r="O39" s="12"/>
      <c r="P39" s="12"/>
      <c r="Q39" s="12"/>
      <c r="R39" s="12"/>
      <c r="S39" s="12"/>
      <c r="T39" s="12"/>
      <c r="U39" s="12"/>
      <c r="V39" s="12"/>
    </row>
    <row r="40" spans="1:22" x14ac:dyDescent="0.2">
      <c r="A40" s="32"/>
      <c r="B40" s="33"/>
      <c r="C40" s="144">
        <f>C39-'ROAR TH'!H42</f>
        <v>66.599999999999994</v>
      </c>
      <c r="D40" s="144">
        <f>D39</f>
        <v>85</v>
      </c>
      <c r="E40" s="36"/>
      <c r="F40" s="34">
        <f>IF('ROAR TH'!$I$15="x",C40,$C$6)</f>
        <v>66.599999999999994</v>
      </c>
      <c r="G40" s="34">
        <f>IF('ROAR TH'!$I$15="x",D40,$C$6)</f>
        <v>85</v>
      </c>
      <c r="H40" s="36"/>
      <c r="I40" s="35">
        <f t="shared" ref="I40:J43" si="5">C39-C40</f>
        <v>18.400000000000006</v>
      </c>
      <c r="J40" s="35">
        <f t="shared" si="5"/>
        <v>0</v>
      </c>
      <c r="K40" s="35">
        <f>(I40^2+J40^2)^0.5</f>
        <v>18.400000000000006</v>
      </c>
      <c r="L40" s="35"/>
      <c r="M40" s="37"/>
      <c r="N40" s="12"/>
      <c r="O40" s="12"/>
      <c r="P40" s="12"/>
      <c r="Q40" s="12"/>
      <c r="R40" s="12"/>
      <c r="S40" s="12"/>
      <c r="T40" s="12"/>
      <c r="U40" s="12"/>
      <c r="V40" s="12"/>
    </row>
    <row r="41" spans="1:22" x14ac:dyDescent="0.2">
      <c r="A41" s="32"/>
      <c r="B41" s="33"/>
      <c r="C41" s="144">
        <f>C40</f>
        <v>66.599999999999994</v>
      </c>
      <c r="D41" s="144">
        <f>D40-'ROAR TH'!$D$28</f>
        <v>83.2</v>
      </c>
      <c r="E41" s="36"/>
      <c r="F41" s="34">
        <f>IF('ROAR TH'!$I$15="x",C41,$C$6)</f>
        <v>66.599999999999994</v>
      </c>
      <c r="G41" s="34">
        <f>IF('ROAR TH'!$I$15="x",D41,$C$6)</f>
        <v>83.2</v>
      </c>
      <c r="H41" s="36"/>
      <c r="I41" s="35">
        <f t="shared" si="5"/>
        <v>0</v>
      </c>
      <c r="J41" s="35">
        <f t="shared" si="5"/>
        <v>1.7999999999999972</v>
      </c>
      <c r="K41" s="35">
        <f>(I41^2+J41^2)^0.5</f>
        <v>1.7999999999999972</v>
      </c>
      <c r="L41" s="35"/>
      <c r="M41" s="37"/>
      <c r="N41" s="12"/>
      <c r="O41" s="12"/>
      <c r="P41" s="12"/>
      <c r="Q41" s="12"/>
      <c r="R41" s="12"/>
      <c r="S41" s="12"/>
      <c r="T41" s="12"/>
      <c r="U41" s="12"/>
      <c r="V41" s="12"/>
    </row>
    <row r="42" spans="1:22" x14ac:dyDescent="0.2">
      <c r="A42" s="32"/>
      <c r="B42" s="33"/>
      <c r="C42" s="144">
        <f>C39</f>
        <v>85</v>
      </c>
      <c r="D42" s="144">
        <f>D41</f>
        <v>83.2</v>
      </c>
      <c r="E42" s="36"/>
      <c r="F42" s="34">
        <f>IF('ROAR TH'!$I$15="x",C42,$C$6)</f>
        <v>85</v>
      </c>
      <c r="G42" s="34">
        <f>IF('ROAR TH'!$I$15="x",D42,$C$6)</f>
        <v>83.2</v>
      </c>
      <c r="H42" s="36"/>
      <c r="I42" s="35">
        <f t="shared" si="5"/>
        <v>-18.400000000000006</v>
      </c>
      <c r="J42" s="35">
        <f t="shared" si="5"/>
        <v>0</v>
      </c>
      <c r="K42" s="35">
        <f>(I42^2+J42^2)^0.5</f>
        <v>18.400000000000006</v>
      </c>
      <c r="L42" s="35"/>
      <c r="M42" s="37"/>
      <c r="N42" s="12"/>
      <c r="O42" s="12"/>
      <c r="P42" s="12"/>
      <c r="Q42" s="12"/>
      <c r="R42" s="12"/>
      <c r="S42" s="12"/>
      <c r="T42" s="12"/>
      <c r="U42" s="12"/>
      <c r="V42" s="12"/>
    </row>
    <row r="43" spans="1:22" x14ac:dyDescent="0.2">
      <c r="A43" s="44"/>
      <c r="B43" s="45"/>
      <c r="C43" s="145">
        <f>C42</f>
        <v>85</v>
      </c>
      <c r="D43" s="145">
        <f>D40</f>
        <v>85</v>
      </c>
      <c r="E43" s="81"/>
      <c r="F43" s="46">
        <f>IF('ROAR TH'!$I$15="x",C43,$C$6)</f>
        <v>85</v>
      </c>
      <c r="G43" s="46">
        <f>IF('ROAR TH'!$I$15="x",D43,$C$6)</f>
        <v>85</v>
      </c>
      <c r="H43" s="81"/>
      <c r="I43" s="47">
        <f t="shared" si="5"/>
        <v>0</v>
      </c>
      <c r="J43" s="47">
        <f t="shared" si="5"/>
        <v>-1.7999999999999972</v>
      </c>
      <c r="K43" s="47">
        <f>(I43^2+J43^2)^0.5</f>
        <v>1.7999999999999972</v>
      </c>
      <c r="L43" s="45"/>
      <c r="M43" s="48"/>
      <c r="N43" s="12"/>
      <c r="O43" s="12"/>
      <c r="P43" s="12"/>
      <c r="Q43" s="12"/>
      <c r="R43" s="12"/>
      <c r="S43" s="12"/>
      <c r="T43" s="12"/>
      <c r="U43" s="12"/>
      <c r="V43" s="12"/>
    </row>
    <row r="44" spans="1:22" x14ac:dyDescent="0.2">
      <c r="A44" s="12"/>
      <c r="B44" s="12"/>
      <c r="C44" s="146"/>
      <c r="D44" s="146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</row>
    <row r="45" spans="1:22" x14ac:dyDescent="0.2">
      <c r="A45" s="25" t="str">
        <f>A39</f>
        <v>Panel E</v>
      </c>
      <c r="B45" s="26"/>
      <c r="C45" s="143">
        <f>C29</f>
        <v>0</v>
      </c>
      <c r="D45" s="143">
        <f>D39</f>
        <v>85</v>
      </c>
      <c r="E45" s="29"/>
      <c r="F45" s="27">
        <f>IF('ROAR TH'!$I$15="x",C45,$C$6)</f>
        <v>0</v>
      </c>
      <c r="G45" s="27">
        <f>IF('ROAR TH'!$I$15="x",D45,$D$6)</f>
        <v>85</v>
      </c>
      <c r="H45" s="29"/>
      <c r="I45" s="28"/>
      <c r="J45" s="28"/>
      <c r="K45" s="28"/>
      <c r="L45" s="28"/>
      <c r="M45" s="30"/>
      <c r="N45" s="12"/>
      <c r="O45" s="12"/>
      <c r="P45" s="12"/>
      <c r="Q45" s="12"/>
      <c r="R45" s="12"/>
      <c r="S45" s="12"/>
      <c r="T45" s="12"/>
      <c r="U45" s="12"/>
      <c r="V45" s="12"/>
    </row>
    <row r="46" spans="1:22" x14ac:dyDescent="0.2">
      <c r="A46" s="32"/>
      <c r="B46" s="33"/>
      <c r="C46" s="144">
        <f>C45+'ROAR TH'!H42</f>
        <v>18.399999999999999</v>
      </c>
      <c r="D46" s="144">
        <f>D45</f>
        <v>85</v>
      </c>
      <c r="E46" s="36"/>
      <c r="F46" s="34">
        <f>IF('ROAR TH'!$I$15="x",C46,$C$6)</f>
        <v>18.399999999999999</v>
      </c>
      <c r="G46" s="34">
        <f>IF('ROAR TH'!$I$15="x",D46,$D$6)</f>
        <v>85</v>
      </c>
      <c r="H46" s="36"/>
      <c r="I46" s="35">
        <f t="shared" ref="I46:J49" si="6">C45-C46</f>
        <v>-18.399999999999999</v>
      </c>
      <c r="J46" s="35">
        <f t="shared" si="6"/>
        <v>0</v>
      </c>
      <c r="K46" s="35">
        <f>(I46^2+J46^2)^0.5</f>
        <v>18.399999999999999</v>
      </c>
      <c r="L46" s="35"/>
      <c r="M46" s="37"/>
      <c r="N46" s="12"/>
      <c r="O46" s="12"/>
      <c r="P46" s="12"/>
      <c r="Q46" s="12"/>
      <c r="R46" s="12"/>
      <c r="S46" s="12"/>
      <c r="T46" s="12"/>
      <c r="U46" s="12"/>
      <c r="V46" s="12"/>
    </row>
    <row r="47" spans="1:22" x14ac:dyDescent="0.2">
      <c r="A47" s="32"/>
      <c r="B47" s="33"/>
      <c r="C47" s="144">
        <f>C46</f>
        <v>18.399999999999999</v>
      </c>
      <c r="D47" s="144">
        <f>D46-'ROAR TH'!$D$28</f>
        <v>83.2</v>
      </c>
      <c r="E47" s="36"/>
      <c r="F47" s="34">
        <f>IF('ROAR TH'!$I$15="x",C47,$C$6)</f>
        <v>18.399999999999999</v>
      </c>
      <c r="G47" s="34">
        <f>IF('ROAR TH'!$I$15="x",D47,$D$6)</f>
        <v>83.2</v>
      </c>
      <c r="H47" s="36"/>
      <c r="I47" s="35">
        <f t="shared" si="6"/>
        <v>0</v>
      </c>
      <c r="J47" s="35">
        <f t="shared" si="6"/>
        <v>1.7999999999999972</v>
      </c>
      <c r="K47" s="35">
        <f>(I47^2+J47^2)^0.5</f>
        <v>1.7999999999999972</v>
      </c>
      <c r="L47" s="35"/>
      <c r="M47" s="37"/>
      <c r="N47" s="12"/>
      <c r="O47" s="12"/>
      <c r="P47" s="12"/>
      <c r="Q47" s="12"/>
      <c r="R47" s="12"/>
      <c r="S47" s="12"/>
      <c r="T47" s="12"/>
      <c r="U47" s="12"/>
      <c r="V47" s="12"/>
    </row>
    <row r="48" spans="1:22" x14ac:dyDescent="0.2">
      <c r="A48" s="32"/>
      <c r="B48" s="33"/>
      <c r="C48" s="144">
        <f>C45</f>
        <v>0</v>
      </c>
      <c r="D48" s="144">
        <f>D47</f>
        <v>83.2</v>
      </c>
      <c r="E48" s="36"/>
      <c r="F48" s="34">
        <f>IF('ROAR TH'!$I$15="x",C48,$C$6)</f>
        <v>0</v>
      </c>
      <c r="G48" s="34">
        <f>IF('ROAR TH'!$I$15="x",D48,$D$6)</f>
        <v>83.2</v>
      </c>
      <c r="H48" s="36"/>
      <c r="I48" s="35">
        <f t="shared" si="6"/>
        <v>18.399999999999999</v>
      </c>
      <c r="J48" s="35">
        <f t="shared" si="6"/>
        <v>0</v>
      </c>
      <c r="K48" s="35">
        <f>(I48^2+J48^2)^0.5</f>
        <v>18.399999999999999</v>
      </c>
      <c r="L48" s="35"/>
      <c r="M48" s="37"/>
      <c r="N48" s="12"/>
      <c r="O48" s="12"/>
      <c r="P48" s="12"/>
      <c r="Q48" s="12"/>
      <c r="R48" s="12"/>
      <c r="S48" s="12"/>
      <c r="T48" s="12"/>
      <c r="U48" s="12"/>
      <c r="V48" s="12"/>
    </row>
    <row r="49" spans="1:22" x14ac:dyDescent="0.2">
      <c r="A49" s="44"/>
      <c r="B49" s="45"/>
      <c r="C49" s="145">
        <f>C45</f>
        <v>0</v>
      </c>
      <c r="D49" s="145">
        <f>D45</f>
        <v>85</v>
      </c>
      <c r="E49" s="81"/>
      <c r="F49" s="46">
        <f>IF('ROAR TH'!$I$15="x",C49,$C$6)</f>
        <v>0</v>
      </c>
      <c r="G49" s="46">
        <f>IF('ROAR TH'!$I$15="x",D49,$D$6)</f>
        <v>85</v>
      </c>
      <c r="H49" s="81"/>
      <c r="I49" s="47">
        <f t="shared" si="6"/>
        <v>0</v>
      </c>
      <c r="J49" s="47">
        <f t="shared" si="6"/>
        <v>-1.7999999999999972</v>
      </c>
      <c r="K49" s="47">
        <f>(I49^2+J49^2)^0.5</f>
        <v>1.7999999999999972</v>
      </c>
      <c r="L49" s="45"/>
      <c r="M49" s="48"/>
      <c r="N49" s="12"/>
      <c r="O49" s="12"/>
      <c r="P49" s="12"/>
      <c r="Q49" s="12"/>
      <c r="R49" s="12"/>
      <c r="S49" s="12"/>
      <c r="T49" s="12"/>
      <c r="U49" s="12"/>
      <c r="V49" s="12"/>
    </row>
    <row r="50" spans="1:22" x14ac:dyDescent="0.2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</row>
    <row r="51" spans="1:22" x14ac:dyDescent="0.2">
      <c r="A51" s="88" t="str">
        <f>'ROAR TH'!J16</f>
        <v>Panel F (baffle)</v>
      </c>
      <c r="B51" s="89"/>
      <c r="C51" s="90">
        <f>C21+('ROAR TH'!H43-'ROAR TH'!$D$28)/2</f>
        <v>76.699999999999989</v>
      </c>
      <c r="D51" s="90">
        <f>D22</f>
        <v>8.3000000000000007</v>
      </c>
      <c r="E51" s="91"/>
      <c r="F51" s="92">
        <f>IF('ROAR TH'!$I$16="x",C51,$C$6)</f>
        <v>76.699999999999989</v>
      </c>
      <c r="G51" s="92">
        <f>IF('ROAR TH'!$I$16="x",D51,$D$6)</f>
        <v>8.3000000000000007</v>
      </c>
      <c r="H51" s="91"/>
      <c r="I51" s="90"/>
      <c r="J51" s="90"/>
      <c r="K51" s="90"/>
      <c r="L51" s="90"/>
      <c r="M51" s="93"/>
      <c r="N51" s="12"/>
      <c r="O51" s="12"/>
      <c r="P51" s="12"/>
      <c r="Q51" s="12"/>
      <c r="R51" s="12"/>
      <c r="S51" s="12"/>
      <c r="T51" s="12"/>
      <c r="U51" s="12"/>
      <c r="V51" s="12"/>
    </row>
    <row r="52" spans="1:22" x14ac:dyDescent="0.2">
      <c r="A52" s="94"/>
      <c r="B52" s="95"/>
      <c r="C52" s="96">
        <f>C51</f>
        <v>76.699999999999989</v>
      </c>
      <c r="D52" s="96">
        <f>D51+'ROAR TH'!$D$28</f>
        <v>10.100000000000001</v>
      </c>
      <c r="E52" s="95"/>
      <c r="F52" s="97">
        <f>IF('ROAR TH'!$I$16="x",C52,$C$6)</f>
        <v>76.699999999999989</v>
      </c>
      <c r="G52" s="97">
        <f>IF('ROAR TH'!$I$16="x",D52,$D$6)</f>
        <v>10.100000000000001</v>
      </c>
      <c r="H52" s="98"/>
      <c r="I52" s="99">
        <f t="shared" ref="I52:J55" si="7">C51-C52</f>
        <v>0</v>
      </c>
      <c r="J52" s="99">
        <f t="shared" si="7"/>
        <v>-1.8000000000000007</v>
      </c>
      <c r="K52" s="99">
        <f>(I52^2+J52^2)^0.5</f>
        <v>1.8000000000000007</v>
      </c>
      <c r="L52" s="99"/>
      <c r="M52" s="100"/>
      <c r="N52" s="12"/>
      <c r="O52" s="12"/>
      <c r="P52" s="12"/>
      <c r="Q52" s="12"/>
      <c r="R52" s="12"/>
      <c r="S52" s="12"/>
      <c r="T52" s="12"/>
      <c r="U52" s="12"/>
      <c r="V52" s="12"/>
    </row>
    <row r="53" spans="1:22" x14ac:dyDescent="0.2">
      <c r="A53" s="94"/>
      <c r="B53" s="95"/>
      <c r="C53" s="96">
        <f>C52-'ROAR TH'!H43</f>
        <v>8.2999999999999972</v>
      </c>
      <c r="D53" s="96">
        <f>D52</f>
        <v>10.100000000000001</v>
      </c>
      <c r="E53" s="95"/>
      <c r="F53" s="97">
        <f>IF('ROAR TH'!$I$16="x",C53,$C$6)</f>
        <v>8.2999999999999972</v>
      </c>
      <c r="G53" s="97">
        <f>IF('ROAR TH'!$I$16="x",D53,$D$6)</f>
        <v>10.100000000000001</v>
      </c>
      <c r="H53" s="98"/>
      <c r="I53" s="99">
        <f t="shared" si="7"/>
        <v>68.399999999999991</v>
      </c>
      <c r="J53" s="99">
        <f t="shared" si="7"/>
        <v>0</v>
      </c>
      <c r="K53" s="99">
        <f>(I53^2+J53^2)^0.5</f>
        <v>68.399999999999991</v>
      </c>
      <c r="L53" s="99"/>
      <c r="M53" s="100"/>
      <c r="N53" s="12"/>
      <c r="O53" s="12"/>
      <c r="P53" s="12"/>
      <c r="Q53" s="12"/>
      <c r="R53" s="12"/>
      <c r="S53" s="12"/>
      <c r="T53" s="12"/>
      <c r="U53" s="12"/>
      <c r="V53" s="12"/>
    </row>
    <row r="54" spans="1:22" x14ac:dyDescent="0.2">
      <c r="A54" s="94"/>
      <c r="B54" s="95"/>
      <c r="C54" s="96">
        <f>C53</f>
        <v>8.2999999999999972</v>
      </c>
      <c r="D54" s="96">
        <f>D53-'ROAR TH'!$D$28</f>
        <v>8.3000000000000007</v>
      </c>
      <c r="E54" s="95"/>
      <c r="F54" s="97">
        <f>IF('ROAR TH'!$I$16="x",C54,$C$6)</f>
        <v>8.2999999999999972</v>
      </c>
      <c r="G54" s="97">
        <f>IF('ROAR TH'!$I$16="x",D54,$D$6)</f>
        <v>8.3000000000000007</v>
      </c>
      <c r="H54" s="98"/>
      <c r="I54" s="99">
        <f t="shared" si="7"/>
        <v>0</v>
      </c>
      <c r="J54" s="99">
        <f t="shared" si="7"/>
        <v>1.8000000000000007</v>
      </c>
      <c r="K54" s="99">
        <f>(I54^2+J54^2)^0.5</f>
        <v>1.8000000000000007</v>
      </c>
      <c r="L54" s="99"/>
      <c r="M54" s="100"/>
      <c r="N54" s="12"/>
      <c r="O54" s="12"/>
      <c r="P54" s="12"/>
      <c r="Q54" s="12"/>
      <c r="R54" s="12"/>
      <c r="S54" s="12"/>
      <c r="T54" s="12"/>
      <c r="U54" s="12"/>
      <c r="V54" s="12"/>
    </row>
    <row r="55" spans="1:22" x14ac:dyDescent="0.2">
      <c r="A55" s="101"/>
      <c r="B55" s="102"/>
      <c r="C55" s="103">
        <f>C51</f>
        <v>76.699999999999989</v>
      </c>
      <c r="D55" s="103">
        <f>D51</f>
        <v>8.3000000000000007</v>
      </c>
      <c r="E55" s="102"/>
      <c r="F55" s="104">
        <f>IF('ROAR TH'!$I$16="x",C55,$C$6)</f>
        <v>76.699999999999989</v>
      </c>
      <c r="G55" s="104">
        <f>IF('ROAR TH'!$I$16="x",D55,$D$6)</f>
        <v>8.3000000000000007</v>
      </c>
      <c r="H55" s="102"/>
      <c r="I55" s="105">
        <f t="shared" si="7"/>
        <v>-68.399999999999991</v>
      </c>
      <c r="J55" s="105">
        <f t="shared" si="7"/>
        <v>0</v>
      </c>
      <c r="K55" s="105">
        <f>(I55^2+J55^2)^0.5</f>
        <v>68.399999999999991</v>
      </c>
      <c r="L55" s="102"/>
      <c r="M55" s="106"/>
      <c r="N55" s="12"/>
      <c r="O55" s="12"/>
      <c r="P55" s="12"/>
      <c r="Q55" s="12"/>
      <c r="R55" s="12"/>
      <c r="S55" s="12"/>
      <c r="T55" s="12"/>
      <c r="U55" s="12"/>
      <c r="V55" s="12"/>
    </row>
    <row r="56" spans="1:22" x14ac:dyDescent="0.2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</row>
    <row r="57" spans="1:22" x14ac:dyDescent="0.2">
      <c r="A57" s="88" t="str">
        <f>'ROAR TH'!J17</f>
        <v>Panel H</v>
      </c>
      <c r="B57" s="109"/>
      <c r="C57" s="110">
        <f>C53</f>
        <v>8.2999999999999972</v>
      </c>
      <c r="D57" s="110">
        <f>D53</f>
        <v>10.100000000000001</v>
      </c>
      <c r="E57" s="111"/>
      <c r="F57" s="112">
        <f>IF('ROAR TH'!$I$17="x",C57,$C$6)</f>
        <v>8.2999999999999972</v>
      </c>
      <c r="G57" s="112">
        <f>IF('ROAR TH'!$I$17="x",D57,$D$6)</f>
        <v>10.100000000000001</v>
      </c>
      <c r="H57" s="111"/>
      <c r="I57" s="110"/>
      <c r="J57" s="110"/>
      <c r="K57" s="110"/>
      <c r="L57" s="110"/>
      <c r="M57" s="113"/>
      <c r="N57" s="12"/>
      <c r="O57" s="12"/>
      <c r="P57" s="12"/>
      <c r="Q57" s="12"/>
      <c r="R57" s="12"/>
      <c r="S57" s="12"/>
      <c r="T57" s="12"/>
      <c r="U57" s="12"/>
      <c r="V57" s="12"/>
    </row>
    <row r="58" spans="1:22" x14ac:dyDescent="0.2">
      <c r="A58" s="114"/>
      <c r="B58" s="115"/>
      <c r="C58" s="116">
        <f>C57+'ROAR TH'!$H$35</f>
        <v>8.2999999999999972</v>
      </c>
      <c r="D58" s="116">
        <f>D57+'ROAR TH'!H44</f>
        <v>76.700000000000017</v>
      </c>
      <c r="E58" s="117"/>
      <c r="F58" s="118">
        <f>IF('ROAR TH'!$I$17="x",C58,$C$6)</f>
        <v>8.2999999999999972</v>
      </c>
      <c r="G58" s="118">
        <f>IF('ROAR TH'!$I$17="x",D58,$D$6)</f>
        <v>76.700000000000017</v>
      </c>
      <c r="H58" s="117"/>
      <c r="I58" s="116">
        <f t="shared" ref="I58:J61" si="8">C57-C58</f>
        <v>0</v>
      </c>
      <c r="J58" s="116">
        <f t="shared" si="8"/>
        <v>-66.600000000000023</v>
      </c>
      <c r="K58" s="116">
        <f>(I58^2+J58^2)^0.5</f>
        <v>66.600000000000023</v>
      </c>
      <c r="L58" s="116"/>
      <c r="M58" s="119"/>
      <c r="N58" s="12"/>
      <c r="O58" s="12"/>
      <c r="P58" s="12"/>
      <c r="Q58" s="12"/>
      <c r="R58" s="12"/>
      <c r="S58" s="12"/>
      <c r="T58" s="12"/>
      <c r="U58" s="12"/>
      <c r="V58" s="12"/>
    </row>
    <row r="59" spans="1:22" x14ac:dyDescent="0.2">
      <c r="A59" s="114"/>
      <c r="B59" s="115"/>
      <c r="C59" s="116">
        <f>C58+'ROAR TH'!$D$28</f>
        <v>10.099999999999998</v>
      </c>
      <c r="D59" s="116">
        <f>D58</f>
        <v>76.700000000000017</v>
      </c>
      <c r="E59" s="117"/>
      <c r="F59" s="118">
        <f>IF('ROAR TH'!$I$17="x",C59,$C$6)</f>
        <v>10.099999999999998</v>
      </c>
      <c r="G59" s="118">
        <f>IF('ROAR TH'!$I$17="x",D59,$D$6)</f>
        <v>76.700000000000017</v>
      </c>
      <c r="H59" s="117"/>
      <c r="I59" s="116">
        <f t="shared" si="8"/>
        <v>-1.8000000000000007</v>
      </c>
      <c r="J59" s="116">
        <f t="shared" si="8"/>
        <v>0</v>
      </c>
      <c r="K59" s="116">
        <f>(I59^2+J59^2)^0.5</f>
        <v>1.8000000000000007</v>
      </c>
      <c r="L59" s="116"/>
      <c r="M59" s="119"/>
      <c r="N59" s="12"/>
      <c r="O59" s="12"/>
      <c r="P59" s="12"/>
      <c r="Q59" s="12"/>
      <c r="R59" s="12"/>
      <c r="S59" s="12"/>
      <c r="T59" s="12"/>
      <c r="U59" s="12"/>
      <c r="V59" s="12"/>
    </row>
    <row r="60" spans="1:22" x14ac:dyDescent="0.2">
      <c r="A60" s="114"/>
      <c r="B60" s="115"/>
      <c r="C60" s="116">
        <f>C59</f>
        <v>10.099999999999998</v>
      </c>
      <c r="D60" s="116">
        <f>D57</f>
        <v>10.100000000000001</v>
      </c>
      <c r="E60" s="117"/>
      <c r="F60" s="118">
        <f>IF('ROAR TH'!$I$17="x",C60,$C$6)</f>
        <v>10.099999999999998</v>
      </c>
      <c r="G60" s="118">
        <f>IF('ROAR TH'!$I$17="x",D60,$D$6)</f>
        <v>10.100000000000001</v>
      </c>
      <c r="H60" s="117"/>
      <c r="I60" s="116">
        <f t="shared" si="8"/>
        <v>0</v>
      </c>
      <c r="J60" s="116">
        <f t="shared" si="8"/>
        <v>66.600000000000023</v>
      </c>
      <c r="K60" s="116">
        <f>(I60^2+J60^2)^0.5</f>
        <v>66.600000000000023</v>
      </c>
      <c r="L60" s="116"/>
      <c r="M60" s="119"/>
      <c r="N60" s="12"/>
      <c r="O60" s="12"/>
      <c r="P60" s="12"/>
      <c r="Q60" s="12"/>
      <c r="R60" s="12"/>
      <c r="S60" s="12"/>
      <c r="T60" s="12"/>
      <c r="U60" s="12"/>
      <c r="V60" s="12"/>
    </row>
    <row r="61" spans="1:22" x14ac:dyDescent="0.2">
      <c r="A61" s="120"/>
      <c r="B61" s="121"/>
      <c r="C61" s="122">
        <f>C57</f>
        <v>8.2999999999999972</v>
      </c>
      <c r="D61" s="122">
        <f>D57</f>
        <v>10.100000000000001</v>
      </c>
      <c r="E61" s="121"/>
      <c r="F61" s="123">
        <f>IF('ROAR TH'!$I$17="x",C61,$C$6)</f>
        <v>8.2999999999999972</v>
      </c>
      <c r="G61" s="123">
        <f>IF('ROAR TH'!$I$17="x",D61,$D$6)</f>
        <v>10.100000000000001</v>
      </c>
      <c r="H61" s="121"/>
      <c r="I61" s="124">
        <f t="shared" si="8"/>
        <v>1.8000000000000007</v>
      </c>
      <c r="J61" s="124">
        <f t="shared" si="8"/>
        <v>0</v>
      </c>
      <c r="K61" s="124">
        <f>(I61^2+J61^2)^0.5</f>
        <v>1.8000000000000007</v>
      </c>
      <c r="L61" s="121"/>
      <c r="M61" s="125"/>
      <c r="N61" s="12"/>
      <c r="O61" s="12"/>
      <c r="P61" s="12"/>
      <c r="Q61" s="12"/>
      <c r="R61" s="12"/>
      <c r="S61" s="12"/>
      <c r="T61" s="12"/>
      <c r="U61" s="12"/>
      <c r="V61" s="12"/>
    </row>
    <row r="62" spans="1:22" x14ac:dyDescent="0.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</row>
    <row r="63" spans="1:22" x14ac:dyDescent="0.2">
      <c r="A63" s="88" t="str">
        <f>A57</f>
        <v>Panel H</v>
      </c>
      <c r="B63" s="109"/>
      <c r="C63" s="110">
        <f>C57+'ROAR TH'!H43-'ROAR TH'!D28</f>
        <v>74.899999999999991</v>
      </c>
      <c r="D63" s="110">
        <f>D57</f>
        <v>10.100000000000001</v>
      </c>
      <c r="E63" s="111"/>
      <c r="F63" s="112">
        <f>IF('ROAR TH'!$I$17="x",C63,$C$6)</f>
        <v>74.899999999999991</v>
      </c>
      <c r="G63" s="112">
        <f>IF('ROAR TH'!$I$17="x",D63,$D$6)</f>
        <v>10.100000000000001</v>
      </c>
      <c r="H63" s="111"/>
      <c r="I63" s="110"/>
      <c r="J63" s="110"/>
      <c r="K63" s="110"/>
      <c r="L63" s="110"/>
      <c r="M63" s="113"/>
      <c r="N63" s="12"/>
      <c r="O63" s="12"/>
      <c r="P63" s="12"/>
      <c r="Q63" s="12"/>
      <c r="R63" s="12"/>
      <c r="S63" s="12"/>
      <c r="T63" s="12"/>
      <c r="U63" s="12"/>
      <c r="V63" s="12"/>
    </row>
    <row r="64" spans="1:22" x14ac:dyDescent="0.2">
      <c r="A64" s="114"/>
      <c r="B64" s="115"/>
      <c r="C64" s="116">
        <f>C63+'ROAR TH'!$H$35</f>
        <v>74.899999999999991</v>
      </c>
      <c r="D64" s="116">
        <f>D58</f>
        <v>76.700000000000017</v>
      </c>
      <c r="E64" s="117"/>
      <c r="F64" s="118">
        <f>IF('ROAR TH'!$I$17="x",C64,$C$6)</f>
        <v>74.899999999999991</v>
      </c>
      <c r="G64" s="118">
        <f>IF('ROAR TH'!$I$17="x",D64,$D$6)</f>
        <v>76.700000000000017</v>
      </c>
      <c r="H64" s="117"/>
      <c r="I64" s="116">
        <f t="shared" ref="I64:J67" si="9">C63-C64</f>
        <v>0</v>
      </c>
      <c r="J64" s="116">
        <f t="shared" si="9"/>
        <v>-66.600000000000023</v>
      </c>
      <c r="K64" s="116">
        <f>(I64^2+J64^2)^0.5</f>
        <v>66.600000000000023</v>
      </c>
      <c r="L64" s="116"/>
      <c r="M64" s="119"/>
      <c r="N64" s="12"/>
      <c r="O64" s="12"/>
      <c r="P64" s="12"/>
      <c r="Q64" s="12"/>
      <c r="R64" s="12"/>
      <c r="S64" s="12"/>
      <c r="T64" s="12"/>
      <c r="U64" s="12"/>
      <c r="V64" s="12"/>
    </row>
    <row r="65" spans="1:22" x14ac:dyDescent="0.2">
      <c r="A65" s="114"/>
      <c r="B65" s="115"/>
      <c r="C65" s="116">
        <f>C64+'ROAR TH'!$D$28</f>
        <v>76.699999999999989</v>
      </c>
      <c r="D65" s="116">
        <f t="shared" ref="D65:D66" si="10">D59</f>
        <v>76.700000000000017</v>
      </c>
      <c r="E65" s="117"/>
      <c r="F65" s="118">
        <f>IF('ROAR TH'!$I$17="x",C65,$C$6)</f>
        <v>76.699999999999989</v>
      </c>
      <c r="G65" s="118">
        <f>IF('ROAR TH'!$I$17="x",D65,$D$6)</f>
        <v>76.700000000000017</v>
      </c>
      <c r="H65" s="117"/>
      <c r="I65" s="116">
        <f t="shared" si="9"/>
        <v>-1.7999999999999972</v>
      </c>
      <c r="J65" s="116">
        <f t="shared" si="9"/>
        <v>0</v>
      </c>
      <c r="K65" s="116">
        <f>(I65^2+J65^2)^0.5</f>
        <v>1.7999999999999972</v>
      </c>
      <c r="L65" s="116"/>
      <c r="M65" s="119"/>
      <c r="N65" s="12"/>
      <c r="O65" s="12"/>
      <c r="P65" s="12"/>
      <c r="Q65" s="12"/>
      <c r="R65" s="12"/>
      <c r="S65" s="12"/>
      <c r="T65" s="12"/>
      <c r="U65" s="12"/>
      <c r="V65" s="12"/>
    </row>
    <row r="66" spans="1:22" x14ac:dyDescent="0.2">
      <c r="A66" s="114"/>
      <c r="B66" s="115"/>
      <c r="C66" s="116">
        <f>C65</f>
        <v>76.699999999999989</v>
      </c>
      <c r="D66" s="116">
        <f t="shared" si="10"/>
        <v>10.100000000000001</v>
      </c>
      <c r="E66" s="117"/>
      <c r="F66" s="118">
        <f>IF('ROAR TH'!$I$17="x",C66,$C$6)</f>
        <v>76.699999999999989</v>
      </c>
      <c r="G66" s="118">
        <f>IF('ROAR TH'!$I$17="x",D66,$D$6)</f>
        <v>10.100000000000001</v>
      </c>
      <c r="H66" s="117"/>
      <c r="I66" s="116">
        <f t="shared" si="9"/>
        <v>0</v>
      </c>
      <c r="J66" s="116">
        <f t="shared" si="9"/>
        <v>66.600000000000023</v>
      </c>
      <c r="K66" s="116">
        <f>(I66^2+J66^2)^0.5</f>
        <v>66.600000000000023</v>
      </c>
      <c r="L66" s="116"/>
      <c r="M66" s="119"/>
      <c r="N66" s="12"/>
      <c r="O66" s="12"/>
      <c r="P66" s="12"/>
      <c r="Q66" s="12"/>
      <c r="R66" s="12"/>
      <c r="S66" s="12"/>
      <c r="T66" s="12"/>
      <c r="U66" s="12"/>
      <c r="V66" s="12"/>
    </row>
    <row r="67" spans="1:22" x14ac:dyDescent="0.2">
      <c r="A67" s="120"/>
      <c r="B67" s="121"/>
      <c r="C67" s="122">
        <f>C63</f>
        <v>74.899999999999991</v>
      </c>
      <c r="D67" s="122">
        <f>D61</f>
        <v>10.100000000000001</v>
      </c>
      <c r="E67" s="121"/>
      <c r="F67" s="123">
        <f>IF('ROAR TH'!$I$17="x",C67,$C$6)</f>
        <v>74.899999999999991</v>
      </c>
      <c r="G67" s="123">
        <f>IF('ROAR TH'!$I$17="x",D67,$D$6)</f>
        <v>10.100000000000001</v>
      </c>
      <c r="H67" s="121"/>
      <c r="I67" s="124">
        <f t="shared" si="9"/>
        <v>1.7999999999999972</v>
      </c>
      <c r="J67" s="124">
        <f t="shared" si="9"/>
        <v>0</v>
      </c>
      <c r="K67" s="124">
        <f>(I67^2+J67^2)^0.5</f>
        <v>1.7999999999999972</v>
      </c>
      <c r="L67" s="121"/>
      <c r="M67" s="125"/>
      <c r="N67" s="12"/>
      <c r="O67" s="12"/>
      <c r="P67" s="12"/>
      <c r="Q67" s="12"/>
      <c r="R67" s="12"/>
      <c r="S67" s="12"/>
      <c r="T67" s="12"/>
      <c r="U67" s="12"/>
      <c r="V67" s="12"/>
    </row>
    <row r="68" spans="1:22" x14ac:dyDescent="0.2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</row>
    <row r="69" spans="1:22" x14ac:dyDescent="0.2">
      <c r="A69" s="88" t="str">
        <f>'ROAR TH'!J18</f>
        <v>Panel I</v>
      </c>
      <c r="B69" s="109"/>
      <c r="C69" s="110">
        <f>C41</f>
        <v>66.599999999999994</v>
      </c>
      <c r="D69" s="110">
        <f>D41</f>
        <v>83.2</v>
      </c>
      <c r="E69" s="111"/>
      <c r="F69" s="112">
        <f>IF('ROAR TH'!$I$18="x",C69,$C$6)</f>
        <v>66.599999999999994</v>
      </c>
      <c r="G69" s="112">
        <f>IF('ROAR TH'!$I$18="x",D69,$D$6)</f>
        <v>83.2</v>
      </c>
      <c r="H69" s="111"/>
      <c r="I69" s="110"/>
      <c r="J69" s="110"/>
      <c r="K69" s="110"/>
      <c r="L69" s="110"/>
      <c r="M69" s="113"/>
      <c r="N69" s="12"/>
      <c r="O69" s="12"/>
      <c r="P69" s="12"/>
      <c r="Q69" s="12"/>
      <c r="R69" s="12"/>
      <c r="S69" s="12"/>
      <c r="T69" s="12"/>
      <c r="U69" s="12"/>
      <c r="V69" s="12"/>
    </row>
    <row r="70" spans="1:22" x14ac:dyDescent="0.2">
      <c r="A70" s="114"/>
      <c r="B70" s="115"/>
      <c r="C70" s="116">
        <f>C69+'ROAR TH'!$H$35</f>
        <v>66.599999999999994</v>
      </c>
      <c r="D70" s="116">
        <f>D69-'ROAR TH'!H45</f>
        <v>23.503213828860829</v>
      </c>
      <c r="E70" s="117"/>
      <c r="F70" s="118">
        <f>IF('ROAR TH'!$I$18="x",C70,$C$6)</f>
        <v>66.599999999999994</v>
      </c>
      <c r="G70" s="118">
        <f>IF('ROAR TH'!$I$18="x",D70,$D$6)</f>
        <v>23.503213828860829</v>
      </c>
      <c r="H70" s="117"/>
      <c r="I70" s="116">
        <f t="shared" ref="I70:J73" si="11">C69-C70</f>
        <v>0</v>
      </c>
      <c r="J70" s="116">
        <f t="shared" si="11"/>
        <v>59.696786171139173</v>
      </c>
      <c r="K70" s="116">
        <f>(I70^2+J70^2)^0.5</f>
        <v>59.696786171139173</v>
      </c>
      <c r="L70" s="116"/>
      <c r="M70" s="119"/>
      <c r="N70" s="12"/>
      <c r="O70" s="12"/>
      <c r="P70" s="12"/>
      <c r="Q70" s="12"/>
      <c r="R70" s="12"/>
      <c r="S70" s="12"/>
      <c r="T70" s="12"/>
      <c r="U70" s="12"/>
      <c r="V70" s="12"/>
    </row>
    <row r="71" spans="1:22" x14ac:dyDescent="0.2">
      <c r="A71" s="114"/>
      <c r="B71" s="115"/>
      <c r="C71" s="116">
        <f>C70+'ROAR TH'!$D$28</f>
        <v>68.399999999999991</v>
      </c>
      <c r="D71" s="116">
        <f>D70</f>
        <v>23.503213828860829</v>
      </c>
      <c r="E71" s="117"/>
      <c r="F71" s="118">
        <f>IF('ROAR TH'!$I$18="x",C71,$C$6)</f>
        <v>68.399999999999991</v>
      </c>
      <c r="G71" s="118">
        <f>IF('ROAR TH'!$I$18="x",D71,$D$6)</f>
        <v>23.503213828860829</v>
      </c>
      <c r="H71" s="117"/>
      <c r="I71" s="116">
        <f t="shared" si="11"/>
        <v>-1.7999999999999972</v>
      </c>
      <c r="J71" s="116">
        <f t="shared" si="11"/>
        <v>0</v>
      </c>
      <c r="K71" s="116">
        <f>(I71^2+J71^2)^0.5</f>
        <v>1.7999999999999972</v>
      </c>
      <c r="L71" s="116"/>
      <c r="M71" s="119"/>
      <c r="N71" s="12"/>
      <c r="O71" s="12"/>
      <c r="P71" s="12"/>
      <c r="Q71" s="12"/>
      <c r="R71" s="12"/>
      <c r="S71" s="12"/>
      <c r="T71" s="12"/>
      <c r="U71" s="12"/>
      <c r="V71" s="12"/>
    </row>
    <row r="72" spans="1:22" x14ac:dyDescent="0.2">
      <c r="A72" s="114"/>
      <c r="B72" s="115"/>
      <c r="C72" s="116">
        <f>C71</f>
        <v>68.399999999999991</v>
      </c>
      <c r="D72" s="116">
        <f>D69</f>
        <v>83.2</v>
      </c>
      <c r="E72" s="117"/>
      <c r="F72" s="118">
        <f>IF('ROAR TH'!$I$18="x",C72,$C$6)</f>
        <v>68.399999999999991</v>
      </c>
      <c r="G72" s="118">
        <f>IF('ROAR TH'!$I$18="x",D72,$D$6)</f>
        <v>83.2</v>
      </c>
      <c r="H72" s="117"/>
      <c r="I72" s="116">
        <f t="shared" si="11"/>
        <v>0</v>
      </c>
      <c r="J72" s="116">
        <f t="shared" si="11"/>
        <v>-59.696786171139173</v>
      </c>
      <c r="K72" s="116">
        <f>(I72^2+J72^2)^0.5</f>
        <v>59.696786171139173</v>
      </c>
      <c r="L72" s="116"/>
      <c r="M72" s="119"/>
      <c r="N72" s="12"/>
      <c r="O72" s="12"/>
      <c r="P72" s="12"/>
      <c r="Q72" s="12"/>
      <c r="R72" s="12"/>
      <c r="S72" s="12"/>
      <c r="T72" s="12"/>
      <c r="U72" s="12"/>
      <c r="V72" s="12"/>
    </row>
    <row r="73" spans="1:22" x14ac:dyDescent="0.2">
      <c r="A73" s="120"/>
      <c r="B73" s="121"/>
      <c r="C73" s="122">
        <f>C69</f>
        <v>66.599999999999994</v>
      </c>
      <c r="D73" s="122">
        <f>D69</f>
        <v>83.2</v>
      </c>
      <c r="E73" s="121"/>
      <c r="F73" s="123">
        <f>IF('ROAR TH'!$I$18="x",C73,$C$6)</f>
        <v>66.599999999999994</v>
      </c>
      <c r="G73" s="123">
        <f>IF('ROAR TH'!$I$18="x",D73,$D$6)</f>
        <v>83.2</v>
      </c>
      <c r="H73" s="121"/>
      <c r="I73" s="124">
        <f t="shared" si="11"/>
        <v>1.7999999999999972</v>
      </c>
      <c r="J73" s="124">
        <f t="shared" si="11"/>
        <v>0</v>
      </c>
      <c r="K73" s="124">
        <f>(I73^2+J73^2)^0.5</f>
        <v>1.7999999999999972</v>
      </c>
      <c r="L73" s="121"/>
      <c r="M73" s="125"/>
      <c r="N73" s="12"/>
      <c r="O73" s="12"/>
      <c r="P73" s="12"/>
      <c r="Q73" s="12"/>
      <c r="R73" s="12"/>
      <c r="S73" s="12"/>
      <c r="T73" s="12"/>
      <c r="U73" s="12"/>
      <c r="V73" s="12"/>
    </row>
    <row r="74" spans="1:22" x14ac:dyDescent="0.2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</row>
    <row r="75" spans="1:22" x14ac:dyDescent="0.2">
      <c r="A75" s="88" t="str">
        <f>A69</f>
        <v>Panel I</v>
      </c>
      <c r="B75" s="109"/>
      <c r="C75" s="110">
        <f>C47-'ROAR TH'!D28</f>
        <v>16.599999999999998</v>
      </c>
      <c r="D75" s="110">
        <f>D69</f>
        <v>83.2</v>
      </c>
      <c r="E75" s="111"/>
      <c r="F75" s="112">
        <f>IF('ROAR TH'!$I$18="x",C75,$C$6)</f>
        <v>16.599999999999998</v>
      </c>
      <c r="G75" s="112">
        <f>IF('ROAR TH'!$I$18="x",D75,$D$6)</f>
        <v>83.2</v>
      </c>
      <c r="H75" s="111"/>
      <c r="I75" s="110"/>
      <c r="J75" s="110"/>
      <c r="K75" s="110"/>
      <c r="L75" s="110"/>
      <c r="M75" s="113"/>
      <c r="N75" s="12"/>
      <c r="O75" s="12"/>
      <c r="P75" s="12"/>
      <c r="Q75" s="12"/>
      <c r="R75" s="12"/>
      <c r="S75" s="12"/>
      <c r="T75" s="12"/>
      <c r="U75" s="12"/>
      <c r="V75" s="12"/>
    </row>
    <row r="76" spans="1:22" x14ac:dyDescent="0.2">
      <c r="A76" s="114"/>
      <c r="B76" s="115"/>
      <c r="C76" s="116">
        <f>C75+'ROAR TH'!$H$35</f>
        <v>16.599999999999998</v>
      </c>
      <c r="D76" s="116">
        <f>D70</f>
        <v>23.503213828860829</v>
      </c>
      <c r="E76" s="117"/>
      <c r="F76" s="118">
        <f>IF('ROAR TH'!$I$18="x",C76,$C$6)</f>
        <v>16.599999999999998</v>
      </c>
      <c r="G76" s="118">
        <f>IF('ROAR TH'!$I$18="x",D76,$D$6)</f>
        <v>23.503213828860829</v>
      </c>
      <c r="H76" s="117"/>
      <c r="I76" s="116">
        <f t="shared" ref="I76:J79" si="12">C75-C76</f>
        <v>0</v>
      </c>
      <c r="J76" s="116">
        <f t="shared" si="12"/>
        <v>59.696786171139173</v>
      </c>
      <c r="K76" s="116">
        <f>(I76^2+J76^2)^0.5</f>
        <v>59.696786171139173</v>
      </c>
      <c r="L76" s="116"/>
      <c r="M76" s="119"/>
      <c r="N76" s="12"/>
      <c r="O76" s="12"/>
      <c r="P76" s="12"/>
      <c r="Q76" s="12"/>
      <c r="R76" s="12"/>
      <c r="S76" s="12"/>
      <c r="T76" s="12"/>
      <c r="U76" s="12"/>
      <c r="V76" s="12"/>
    </row>
    <row r="77" spans="1:22" x14ac:dyDescent="0.2">
      <c r="A77" s="114"/>
      <c r="B77" s="115"/>
      <c r="C77" s="116">
        <f>C76+'ROAR TH'!$D$28</f>
        <v>18.399999999999999</v>
      </c>
      <c r="D77" s="116">
        <f t="shared" ref="D77:D78" si="13">D71</f>
        <v>23.503213828860829</v>
      </c>
      <c r="E77" s="117"/>
      <c r="F77" s="118">
        <f>IF('ROAR TH'!$I$18="x",C77,$C$6)</f>
        <v>18.399999999999999</v>
      </c>
      <c r="G77" s="118">
        <f>IF('ROAR TH'!$I$18="x",D77,$D$6)</f>
        <v>23.503213828860829</v>
      </c>
      <c r="H77" s="117"/>
      <c r="I77" s="116">
        <f t="shared" si="12"/>
        <v>-1.8000000000000007</v>
      </c>
      <c r="J77" s="116">
        <f t="shared" si="12"/>
        <v>0</v>
      </c>
      <c r="K77" s="116">
        <f>(I77^2+J77^2)^0.5</f>
        <v>1.8000000000000007</v>
      </c>
      <c r="L77" s="116"/>
      <c r="M77" s="119"/>
      <c r="N77" s="12"/>
      <c r="O77" s="12"/>
      <c r="P77" s="12"/>
      <c r="Q77" s="12"/>
      <c r="R77" s="12"/>
      <c r="S77" s="12"/>
      <c r="T77" s="12"/>
      <c r="U77" s="12"/>
      <c r="V77" s="12"/>
    </row>
    <row r="78" spans="1:22" x14ac:dyDescent="0.2">
      <c r="A78" s="114"/>
      <c r="B78" s="115"/>
      <c r="C78" s="116">
        <f>C77</f>
        <v>18.399999999999999</v>
      </c>
      <c r="D78" s="116">
        <f t="shared" si="13"/>
        <v>83.2</v>
      </c>
      <c r="E78" s="117"/>
      <c r="F78" s="118">
        <f>IF('ROAR TH'!$I$18="x",C78,$C$6)</f>
        <v>18.399999999999999</v>
      </c>
      <c r="G78" s="118">
        <f>IF('ROAR TH'!$I$18="x",D78,$D$6)</f>
        <v>83.2</v>
      </c>
      <c r="H78" s="117"/>
      <c r="I78" s="116">
        <f t="shared" si="12"/>
        <v>0</v>
      </c>
      <c r="J78" s="116">
        <f t="shared" si="12"/>
        <v>-59.696786171139173</v>
      </c>
      <c r="K78" s="116">
        <f>(I78^2+J78^2)^0.5</f>
        <v>59.696786171139173</v>
      </c>
      <c r="L78" s="116"/>
      <c r="M78" s="119"/>
      <c r="N78" s="12"/>
      <c r="O78" s="12"/>
      <c r="P78" s="12"/>
      <c r="Q78" s="12"/>
      <c r="R78" s="12"/>
      <c r="S78" s="12"/>
      <c r="T78" s="12"/>
      <c r="U78" s="12"/>
      <c r="V78" s="12"/>
    </row>
    <row r="79" spans="1:22" x14ac:dyDescent="0.2">
      <c r="A79" s="120"/>
      <c r="B79" s="121"/>
      <c r="C79" s="122">
        <f>C75</f>
        <v>16.599999999999998</v>
      </c>
      <c r="D79" s="122">
        <f>D73</f>
        <v>83.2</v>
      </c>
      <c r="E79" s="121"/>
      <c r="F79" s="123">
        <f>IF('ROAR TH'!$I$18="x",C79,$C$6)</f>
        <v>16.599999999999998</v>
      </c>
      <c r="G79" s="123">
        <f>IF('ROAR TH'!$I$18="x",D79,$D$6)</f>
        <v>83.2</v>
      </c>
      <c r="H79" s="121"/>
      <c r="I79" s="124">
        <f t="shared" si="12"/>
        <v>1.8000000000000007</v>
      </c>
      <c r="J79" s="124">
        <f t="shared" si="12"/>
        <v>0</v>
      </c>
      <c r="K79" s="124">
        <f>(I79^2+J79^2)^0.5</f>
        <v>1.8000000000000007</v>
      </c>
      <c r="L79" s="121"/>
      <c r="M79" s="125"/>
      <c r="N79" s="12"/>
      <c r="O79" s="12"/>
      <c r="P79" s="12"/>
      <c r="Q79" s="12"/>
      <c r="R79" s="12"/>
      <c r="S79" s="12"/>
      <c r="T79" s="12"/>
      <c r="U79" s="12"/>
      <c r="V79" s="12"/>
    </row>
    <row r="80" spans="1:22" x14ac:dyDescent="0.2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</row>
    <row r="81" spans="1:22" x14ac:dyDescent="0.2">
      <c r="A81" s="129" t="s">
        <v>71</v>
      </c>
      <c r="B81" s="130"/>
      <c r="C81" s="131">
        <f>(C28+C27)/2</f>
        <v>42.5</v>
      </c>
      <c r="D81" s="131">
        <f>D52</f>
        <v>10.100000000000001</v>
      </c>
      <c r="E81" s="132"/>
      <c r="F81" s="133">
        <f>C81</f>
        <v>42.5</v>
      </c>
      <c r="G81" s="133">
        <f>D81</f>
        <v>10.100000000000001</v>
      </c>
      <c r="H81" s="132"/>
      <c r="I81" s="131"/>
      <c r="J81" s="131"/>
      <c r="K81" s="131"/>
      <c r="L81" s="131"/>
      <c r="M81" s="134"/>
      <c r="N81" s="12"/>
      <c r="O81" s="12"/>
      <c r="P81" s="12"/>
      <c r="Q81" s="12"/>
      <c r="R81" s="12"/>
      <c r="S81" s="12"/>
      <c r="T81" s="12"/>
      <c r="U81" s="12"/>
      <c r="V81" s="12"/>
    </row>
    <row r="82" spans="1:22" x14ac:dyDescent="0.2">
      <c r="A82" s="135"/>
      <c r="B82" s="136"/>
      <c r="C82" s="137">
        <f>C81</f>
        <v>42.5</v>
      </c>
      <c r="D82" s="137">
        <f>D27</f>
        <v>85</v>
      </c>
      <c r="E82" s="136"/>
      <c r="F82" s="138">
        <f>C82</f>
        <v>42.5</v>
      </c>
      <c r="G82" s="138">
        <f>D82</f>
        <v>85</v>
      </c>
      <c r="H82" s="136"/>
      <c r="I82" s="139"/>
      <c r="J82" s="139"/>
      <c r="K82" s="139"/>
      <c r="L82" s="136"/>
      <c r="M82" s="140"/>
      <c r="N82" s="12"/>
      <c r="O82" s="12"/>
      <c r="P82" s="12"/>
      <c r="Q82" s="12"/>
      <c r="R82" s="12"/>
      <c r="S82" s="12"/>
      <c r="T82" s="12"/>
      <c r="U82" s="12"/>
      <c r="V82" s="12"/>
    </row>
    <row r="83" spans="1:22" x14ac:dyDescent="0.2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</row>
    <row r="84" spans="1:22" x14ac:dyDescent="0.2">
      <c r="A84" s="129" t="s">
        <v>68</v>
      </c>
      <c r="B84" s="130"/>
      <c r="C84" s="131">
        <f>C29</f>
        <v>0</v>
      </c>
      <c r="D84" s="131">
        <f>D29</f>
        <v>0</v>
      </c>
      <c r="E84" s="132"/>
      <c r="F84" s="133">
        <f>C84</f>
        <v>0</v>
      </c>
      <c r="G84" s="133">
        <f>D84</f>
        <v>0</v>
      </c>
      <c r="H84" s="132"/>
      <c r="I84" s="131"/>
      <c r="J84" s="131"/>
      <c r="K84" s="131"/>
      <c r="L84" s="131"/>
      <c r="M84" s="134"/>
      <c r="N84" s="12"/>
      <c r="O84" s="12"/>
      <c r="P84" s="12"/>
      <c r="Q84" s="12"/>
      <c r="R84" s="12"/>
      <c r="S84" s="12"/>
      <c r="T84" s="12"/>
      <c r="U84" s="12"/>
      <c r="V84" s="12"/>
    </row>
    <row r="85" spans="1:22" x14ac:dyDescent="0.2">
      <c r="A85" s="135"/>
      <c r="B85" s="136"/>
      <c r="C85" s="137">
        <f>C84</f>
        <v>0</v>
      </c>
      <c r="D85" s="137">
        <f>MAX(C9:D49)</f>
        <v>85</v>
      </c>
      <c r="E85" s="136"/>
      <c r="F85" s="138">
        <f>C85</f>
        <v>0</v>
      </c>
      <c r="G85" s="138">
        <f>D85</f>
        <v>85</v>
      </c>
      <c r="H85" s="136"/>
      <c r="I85" s="139"/>
      <c r="J85" s="139"/>
      <c r="K85" s="139"/>
      <c r="L85" s="136"/>
      <c r="M85" s="140"/>
      <c r="N85" s="12"/>
      <c r="O85" s="12"/>
      <c r="P85" s="12"/>
      <c r="Q85" s="12"/>
      <c r="R85" s="12"/>
      <c r="S85" s="12"/>
      <c r="T85" s="12"/>
      <c r="U85" s="12"/>
      <c r="V85" s="12"/>
    </row>
    <row r="86" spans="1:22" x14ac:dyDescent="0.2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</row>
    <row r="87" spans="1:22" x14ac:dyDescent="0.2">
      <c r="A87" s="129" t="s">
        <v>67</v>
      </c>
      <c r="B87" s="130"/>
      <c r="C87" s="131">
        <f>C84</f>
        <v>0</v>
      </c>
      <c r="D87" s="131">
        <f>D84</f>
        <v>0</v>
      </c>
      <c r="E87" s="132"/>
      <c r="F87" s="133">
        <f>C87</f>
        <v>0</v>
      </c>
      <c r="G87" s="133">
        <f>D87</f>
        <v>0</v>
      </c>
      <c r="H87" s="132"/>
      <c r="I87" s="131"/>
      <c r="J87" s="131"/>
      <c r="K87" s="131"/>
      <c r="L87" s="131"/>
      <c r="M87" s="134"/>
      <c r="N87" s="12"/>
      <c r="O87" s="12"/>
      <c r="P87" s="12"/>
      <c r="Q87" s="12"/>
      <c r="R87" s="12"/>
      <c r="S87" s="12"/>
      <c r="T87" s="12"/>
      <c r="U87" s="12"/>
      <c r="V87" s="12"/>
    </row>
    <row r="88" spans="1:22" x14ac:dyDescent="0.2">
      <c r="A88" s="135"/>
      <c r="B88" s="136"/>
      <c r="C88" s="137">
        <f>D85</f>
        <v>85</v>
      </c>
      <c r="D88" s="137">
        <f>C85</f>
        <v>0</v>
      </c>
      <c r="E88" s="136"/>
      <c r="F88" s="138">
        <f>C88</f>
        <v>85</v>
      </c>
      <c r="G88" s="138">
        <f>D88</f>
        <v>0</v>
      </c>
      <c r="H88" s="136"/>
      <c r="I88" s="139"/>
      <c r="J88" s="139"/>
      <c r="K88" s="139"/>
      <c r="L88" s="136"/>
      <c r="M88" s="140"/>
      <c r="N88" s="12"/>
      <c r="O88" s="12"/>
      <c r="P88" s="12"/>
      <c r="Q88" s="12"/>
      <c r="R88" s="12"/>
      <c r="S88" s="12"/>
      <c r="T88" s="12"/>
      <c r="U88" s="12"/>
      <c r="V88" s="12"/>
    </row>
    <row r="89" spans="1:22" x14ac:dyDescent="0.2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</row>
    <row r="90" spans="1:22" x14ac:dyDescent="0.2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</row>
    <row r="91" spans="1:22" x14ac:dyDescent="0.2">
      <c r="A91" s="12"/>
      <c r="B91" s="12"/>
      <c r="C91" s="14" t="s">
        <v>3</v>
      </c>
      <c r="D91" s="14" t="s">
        <v>4</v>
      </c>
      <c r="E91" s="14" t="s">
        <v>5</v>
      </c>
      <c r="F91" s="14" t="s">
        <v>6</v>
      </c>
      <c r="G91" s="14" t="s">
        <v>26</v>
      </c>
      <c r="H91" s="14" t="s">
        <v>36</v>
      </c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</row>
    <row r="92" spans="1:22" x14ac:dyDescent="0.2">
      <c r="A92" s="12"/>
      <c r="B92" s="12"/>
      <c r="C92" s="15">
        <f>C52</f>
        <v>76.699999999999989</v>
      </c>
      <c r="D92" s="15">
        <f>D52</f>
        <v>10.100000000000001</v>
      </c>
      <c r="E92" s="14"/>
      <c r="F92" s="14"/>
      <c r="G92" s="14"/>
      <c r="H92" s="14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</row>
    <row r="93" spans="1:22" x14ac:dyDescent="0.2">
      <c r="A93" s="12"/>
      <c r="B93" s="12"/>
      <c r="C93" s="15">
        <f>C53</f>
        <v>8.2999999999999972</v>
      </c>
      <c r="D93" s="15">
        <f>D53</f>
        <v>10.100000000000001</v>
      </c>
      <c r="E93" s="15">
        <f>C92-C93</f>
        <v>68.399999999999991</v>
      </c>
      <c r="F93" s="15">
        <f>D92-D93</f>
        <v>0</v>
      </c>
      <c r="G93" s="15">
        <f>(E93^2+F93^2)^0.5</f>
        <v>68.399999999999991</v>
      </c>
      <c r="H93" s="16">
        <f>F93/E93</f>
        <v>0</v>
      </c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</row>
    <row r="94" spans="1:22" x14ac:dyDescent="0.2">
      <c r="A94" s="12"/>
      <c r="B94" s="12"/>
      <c r="C94" s="15"/>
      <c r="D94" s="15"/>
      <c r="E94" s="14"/>
      <c r="F94" s="14"/>
      <c r="G94" s="14"/>
      <c r="H94" s="14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</row>
    <row r="95" spans="1:22" x14ac:dyDescent="0.2">
      <c r="A95" s="12"/>
      <c r="B95" s="12"/>
      <c r="C95" s="16"/>
      <c r="D95" s="15"/>
      <c r="E95" s="14"/>
      <c r="F95" s="14"/>
      <c r="G95" s="15"/>
      <c r="H95" s="14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</row>
    <row r="96" spans="1:22" x14ac:dyDescent="0.2">
      <c r="A96" s="12"/>
      <c r="B96" s="12"/>
      <c r="C96" s="14"/>
      <c r="D96" s="14"/>
      <c r="E96" s="14"/>
      <c r="F96" s="14"/>
      <c r="G96" s="15"/>
      <c r="H96" s="14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</row>
    <row r="97" spans="1:22" x14ac:dyDescent="0.2">
      <c r="A97" s="12"/>
      <c r="B97" s="12"/>
      <c r="C97" s="14"/>
      <c r="D97" s="14"/>
      <c r="E97" s="14" t="str">
        <f>'ROAR TH'!I7</f>
        <v>x</v>
      </c>
      <c r="F97" s="14"/>
      <c r="G97" s="15"/>
      <c r="H97" s="14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</row>
    <row r="98" spans="1:22" x14ac:dyDescent="0.2">
      <c r="A98" s="12"/>
      <c r="B98" s="12"/>
      <c r="C98" s="15">
        <f>C99+('ROAR TH'!$D$4*COS(ATAN($H$93)))/2+C95</f>
        <v>65.849999999999994</v>
      </c>
      <c r="D98" s="15">
        <f>D99+('ROAR TH'!$D$4*SIN(ATAN($H$93)))/2</f>
        <v>10.100000000000001</v>
      </c>
      <c r="E98" s="142" t="str">
        <f t="shared" ref="E98:E103" si="14">$E$97</f>
        <v>x</v>
      </c>
      <c r="F98" s="15">
        <f>IF(E98="x",C98,"")</f>
        <v>65.849999999999994</v>
      </c>
      <c r="G98" s="15">
        <f>IF(E98="x",D98,"")</f>
        <v>10.100000000000001</v>
      </c>
      <c r="H98" s="14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</row>
    <row r="99" spans="1:22" x14ac:dyDescent="0.2">
      <c r="A99" s="12"/>
      <c r="B99" s="12"/>
      <c r="C99" s="15">
        <f>(C53+C52)/2</f>
        <v>42.499999999999993</v>
      </c>
      <c r="D99" s="15">
        <f>D92-(F93*'ROAR TH'!D16/G93)-D95</f>
        <v>10.100000000000001</v>
      </c>
      <c r="E99" s="142" t="str">
        <f t="shared" si="14"/>
        <v>x</v>
      </c>
      <c r="F99" s="15">
        <f t="shared" ref="F99:F103" si="15">IF(E99="x",C99,"")</f>
        <v>42.499999999999993</v>
      </c>
      <c r="G99" s="15">
        <f t="shared" ref="G99:G103" si="16">IF(E99="x",D99,"")</f>
        <v>10.100000000000001</v>
      </c>
      <c r="H99" s="14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</row>
    <row r="100" spans="1:22" x14ac:dyDescent="0.2">
      <c r="A100" s="12"/>
      <c r="B100" s="12"/>
      <c r="C100" s="15">
        <f>C99+'ROAR TH'!$D$6*SIN(ATAN($H$93))</f>
        <v>42.499999999999993</v>
      </c>
      <c r="D100" s="15">
        <f>D99+'ROAR TH'!$D$6*COS(ATAN($H$93))</f>
        <v>31</v>
      </c>
      <c r="E100" s="142" t="str">
        <f t="shared" si="14"/>
        <v>x</v>
      </c>
      <c r="F100" s="15">
        <f t="shared" si="15"/>
        <v>42.499999999999993</v>
      </c>
      <c r="G100" s="15">
        <f t="shared" si="16"/>
        <v>31</v>
      </c>
      <c r="H100" s="14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</row>
    <row r="101" spans="1:22" x14ac:dyDescent="0.2">
      <c r="A101" s="12"/>
      <c r="B101" s="12"/>
      <c r="C101" s="15">
        <f>C100+'ROAR TH'!$D$7*COS(ATAN($H$93))/2</f>
        <v>54.499999999999993</v>
      </c>
      <c r="D101" s="15">
        <f>D100+'ROAR TH'!$D$7*SIN(ATAN($H$93))/2</f>
        <v>31</v>
      </c>
      <c r="E101" s="142" t="str">
        <f t="shared" si="14"/>
        <v>x</v>
      </c>
      <c r="F101" s="15">
        <f t="shared" si="15"/>
        <v>54.499999999999993</v>
      </c>
      <c r="G101" s="15">
        <f t="shared" si="16"/>
        <v>31</v>
      </c>
      <c r="H101" s="14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</row>
    <row r="102" spans="1:22" x14ac:dyDescent="0.2">
      <c r="A102" s="12"/>
      <c r="B102" s="12"/>
      <c r="C102" s="15">
        <f>C101-'ROAR TH'!$D$8*SIN(ATAN($H$93))</f>
        <v>54.499999999999993</v>
      </c>
      <c r="D102" s="15">
        <f>D101-'ROAR TH'!$D$8*COS(ATAN($H$93))</f>
        <v>25</v>
      </c>
      <c r="E102" s="142" t="str">
        <f t="shared" si="14"/>
        <v>x</v>
      </c>
      <c r="F102" s="15">
        <f t="shared" si="15"/>
        <v>54.499999999999993</v>
      </c>
      <c r="G102" s="15">
        <f t="shared" si="16"/>
        <v>25</v>
      </c>
      <c r="H102" s="14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</row>
    <row r="103" spans="1:22" x14ac:dyDescent="0.2">
      <c r="A103" s="12"/>
      <c r="B103" s="12"/>
      <c r="C103" s="15">
        <f>C99+'ROAR TH'!$D$5*COS(ATAN($H$93))/2</f>
        <v>63.599999999999994</v>
      </c>
      <c r="D103" s="15">
        <f>D99+('ROAR TH'!$D$5)*SIN(ATAN($H$93))/2</f>
        <v>10.100000000000001</v>
      </c>
      <c r="E103" s="142" t="str">
        <f t="shared" si="14"/>
        <v>x</v>
      </c>
      <c r="F103" s="15">
        <f t="shared" si="15"/>
        <v>63.599999999999994</v>
      </c>
      <c r="G103" s="15">
        <f t="shared" si="16"/>
        <v>10.100000000000001</v>
      </c>
      <c r="H103" s="14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</row>
    <row r="104" spans="1:22" x14ac:dyDescent="0.2">
      <c r="A104" s="12"/>
      <c r="B104" s="12"/>
      <c r="C104" s="15"/>
      <c r="D104" s="14"/>
      <c r="F104" s="15"/>
      <c r="G104" s="15"/>
      <c r="H104" s="14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</row>
    <row r="105" spans="1:22" x14ac:dyDescent="0.2">
      <c r="A105" s="12"/>
      <c r="B105" s="12"/>
      <c r="C105" s="15">
        <f>C106-('ROAR TH'!$D$4*COS(ATAN($H$93)))/2</f>
        <v>19.149999999999991</v>
      </c>
      <c r="D105" s="15">
        <f>D106-('ROAR TH'!$D$4*SIN(ATAN($H$93)))/2</f>
        <v>10.100000000000001</v>
      </c>
      <c r="E105" s="142" t="str">
        <f t="shared" ref="E105:E110" si="17">$E$97</f>
        <v>x</v>
      </c>
      <c r="F105" s="15">
        <f t="shared" ref="F105:F110" si="18">IF(E105="x",C105,"")</f>
        <v>19.149999999999991</v>
      </c>
      <c r="G105" s="15">
        <f t="shared" ref="G105:G110" si="19">IF(E105="x",D105,"")</f>
        <v>10.100000000000001</v>
      </c>
      <c r="H105" s="14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</row>
    <row r="106" spans="1:22" x14ac:dyDescent="0.2">
      <c r="A106" s="12"/>
      <c r="B106" s="12"/>
      <c r="C106" s="15">
        <f>C99</f>
        <v>42.499999999999993</v>
      </c>
      <c r="D106" s="15">
        <f>D99</f>
        <v>10.100000000000001</v>
      </c>
      <c r="E106" s="142" t="str">
        <f t="shared" si="17"/>
        <v>x</v>
      </c>
      <c r="F106" s="15">
        <f t="shared" si="18"/>
        <v>42.499999999999993</v>
      </c>
      <c r="G106" s="15">
        <f t="shared" si="19"/>
        <v>10.100000000000001</v>
      </c>
      <c r="H106" s="14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</row>
    <row r="107" spans="1:22" x14ac:dyDescent="0.2">
      <c r="A107" s="12"/>
      <c r="B107" s="12"/>
      <c r="C107" s="15">
        <f>C100</f>
        <v>42.499999999999993</v>
      </c>
      <c r="D107" s="15">
        <f>D100</f>
        <v>31</v>
      </c>
      <c r="E107" s="142" t="str">
        <f t="shared" si="17"/>
        <v>x</v>
      </c>
      <c r="F107" s="15">
        <f t="shared" si="18"/>
        <v>42.499999999999993</v>
      </c>
      <c r="G107" s="15">
        <f t="shared" si="19"/>
        <v>31</v>
      </c>
      <c r="H107" s="14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</row>
    <row r="108" spans="1:22" x14ac:dyDescent="0.2">
      <c r="A108" s="12"/>
      <c r="B108" s="12"/>
      <c r="C108" s="15">
        <f>C107-'ROAR TH'!$D$7*COS(ATAN($H$93))/2</f>
        <v>30.499999999999993</v>
      </c>
      <c r="D108" s="15">
        <f>D107-'ROAR TH'!$D$7*SIN(ATAN($H$93))/2</f>
        <v>31</v>
      </c>
      <c r="E108" s="142" t="str">
        <f t="shared" si="17"/>
        <v>x</v>
      </c>
      <c r="F108" s="15">
        <f t="shared" si="18"/>
        <v>30.499999999999993</v>
      </c>
      <c r="G108" s="15">
        <f t="shared" si="19"/>
        <v>31</v>
      </c>
      <c r="H108" s="14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</row>
    <row r="109" spans="1:22" x14ac:dyDescent="0.2">
      <c r="A109" s="12"/>
      <c r="B109" s="12"/>
      <c r="C109" s="15">
        <f>C108-'ROAR TH'!$D$8*SIN(ATAN($H$93))</f>
        <v>30.499999999999993</v>
      </c>
      <c r="D109" s="15">
        <f>D108-'ROAR TH'!$D$8*COS(ATAN($H$93))</f>
        <v>25</v>
      </c>
      <c r="E109" s="142" t="str">
        <f t="shared" si="17"/>
        <v>x</v>
      </c>
      <c r="F109" s="15">
        <f t="shared" si="18"/>
        <v>30.499999999999993</v>
      </c>
      <c r="G109" s="15">
        <f t="shared" si="19"/>
        <v>25</v>
      </c>
      <c r="H109" s="14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</row>
    <row r="110" spans="1:22" x14ac:dyDescent="0.2">
      <c r="A110" s="12"/>
      <c r="B110" s="12"/>
      <c r="C110" s="15">
        <f>C106-'ROAR TH'!$D$5*COS(ATAN($H$93))/2</f>
        <v>21.399999999999991</v>
      </c>
      <c r="D110" s="15">
        <f>D106-('ROAR TH'!$D$5)*SIN(ATAN($H$93))/2</f>
        <v>10.100000000000001</v>
      </c>
      <c r="E110" s="142" t="str">
        <f t="shared" si="17"/>
        <v>x</v>
      </c>
      <c r="F110" s="15">
        <f t="shared" si="18"/>
        <v>21.399999999999991</v>
      </c>
      <c r="G110" s="15">
        <f t="shared" si="19"/>
        <v>10.100000000000001</v>
      </c>
      <c r="H110" s="14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</row>
    <row r="111" spans="1:22" x14ac:dyDescent="0.2">
      <c r="A111" s="12"/>
      <c r="B111" s="12"/>
      <c r="C111" s="15"/>
      <c r="D111" s="14"/>
      <c r="F111" s="15"/>
      <c r="G111" s="15"/>
      <c r="H111" s="14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</row>
    <row r="112" spans="1:22" x14ac:dyDescent="0.2">
      <c r="A112" s="12"/>
      <c r="B112" s="12"/>
      <c r="C112" s="15">
        <f>C109</f>
        <v>30.499999999999993</v>
      </c>
      <c r="D112" s="15">
        <f>D109</f>
        <v>25</v>
      </c>
      <c r="E112" s="142" t="str">
        <f>$E$97</f>
        <v>x</v>
      </c>
      <c r="F112" s="15">
        <f t="shared" ref="F112:F113" si="20">IF(E112="x",C112,"")</f>
        <v>30.499999999999993</v>
      </c>
      <c r="G112" s="15">
        <f t="shared" ref="G112:G113" si="21">IF(E112="x",D112,"")</f>
        <v>25</v>
      </c>
      <c r="H112" s="14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</row>
    <row r="113" spans="1:22" x14ac:dyDescent="0.2">
      <c r="A113" s="12"/>
      <c r="B113" s="12"/>
      <c r="C113" s="15">
        <f>C102</f>
        <v>54.499999999999993</v>
      </c>
      <c r="D113" s="15">
        <f>D102</f>
        <v>25</v>
      </c>
      <c r="E113" s="142" t="str">
        <f>$E$97</f>
        <v>x</v>
      </c>
      <c r="F113" s="15">
        <f t="shared" si="20"/>
        <v>54.499999999999993</v>
      </c>
      <c r="G113" s="15">
        <f t="shared" si="21"/>
        <v>25</v>
      </c>
      <c r="H113" s="14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V95"/>
  <sheetViews>
    <sheetView tabSelected="1" workbookViewId="0">
      <selection activeCell="D12" sqref="D12"/>
    </sheetView>
  </sheetViews>
  <sheetFormatPr defaultRowHeight="11.25" x14ac:dyDescent="0.2"/>
  <cols>
    <col min="1" max="16384" width="9.140625" style="10"/>
  </cols>
  <sheetData>
    <row r="2" spans="1:22" x14ac:dyDescent="0.2">
      <c r="C2" s="107" t="s">
        <v>47</v>
      </c>
      <c r="D2" s="147">
        <f>COS('ROAR TH'!D34*PI()/180)</f>
        <v>1</v>
      </c>
      <c r="E2" s="147">
        <f>'ROAR TH'!D28*D2</f>
        <v>1.8</v>
      </c>
      <c r="F2" s="107"/>
      <c r="G2" s="107" t="s">
        <v>47</v>
      </c>
      <c r="H2" s="147">
        <f>COS('ROAR TH'!D34*PI()/(180*2))</f>
        <v>1</v>
      </c>
      <c r="I2" s="147">
        <f>'ROAR TH'!D28*H2</f>
        <v>1.8</v>
      </c>
      <c r="J2" s="107"/>
    </row>
    <row r="3" spans="1:22" x14ac:dyDescent="0.2">
      <c r="C3" s="107" t="s">
        <v>48</v>
      </c>
      <c r="D3" s="147">
        <f>SIN('ROAR TH'!D34*PI()/180)</f>
        <v>0</v>
      </c>
      <c r="E3" s="147">
        <f>'ROAR TH'!D28*D3</f>
        <v>0</v>
      </c>
      <c r="F3" s="107"/>
      <c r="G3" s="107" t="s">
        <v>48</v>
      </c>
      <c r="H3" s="147">
        <f>SIN('ROAR TH'!D34*PI()/(180*2))</f>
        <v>0</v>
      </c>
      <c r="I3" s="147">
        <f>'ROAR TH'!D28*H3</f>
        <v>0</v>
      </c>
      <c r="J3" s="107"/>
    </row>
    <row r="4" spans="1:22" x14ac:dyDescent="0.2">
      <c r="C4" s="107" t="s">
        <v>51</v>
      </c>
      <c r="D4" s="147">
        <f>TAN('ROAR TH'!D34*PI()/180)</f>
        <v>0</v>
      </c>
      <c r="E4" s="107"/>
      <c r="F4" s="107"/>
      <c r="G4" s="107" t="s">
        <v>51</v>
      </c>
      <c r="H4" s="147">
        <f>TAN('ROAR TH'!D34*PI()/(180*2))</f>
        <v>0</v>
      </c>
      <c r="I4" s="107"/>
      <c r="J4" s="107"/>
    </row>
    <row r="6" spans="1:22" x14ac:dyDescent="0.2">
      <c r="D6" s="4" t="s">
        <v>55</v>
      </c>
      <c r="E6" s="4" t="s">
        <v>1</v>
      </c>
      <c r="F6" s="4" t="s">
        <v>75</v>
      </c>
      <c r="G6" s="4" t="s">
        <v>17</v>
      </c>
      <c r="H6" s="4" t="s">
        <v>4</v>
      </c>
    </row>
    <row r="7" spans="1:22" x14ac:dyDescent="0.2">
      <c r="C7" s="1" t="s">
        <v>18</v>
      </c>
      <c r="D7" s="162">
        <f>Q21</f>
        <v>616.20000000000005</v>
      </c>
      <c r="E7" s="10">
        <v>0</v>
      </c>
      <c r="F7" s="170">
        <f t="shared" ref="F7:F11" si="0">$O$14</f>
        <v>47.4</v>
      </c>
      <c r="H7" s="170">
        <f t="shared" ref="H7:H11" si="1">D7/F7</f>
        <v>13.000000000000002</v>
      </c>
    </row>
    <row r="8" spans="1:22" x14ac:dyDescent="0.2">
      <c r="C8" s="1" t="s">
        <v>52</v>
      </c>
      <c r="D8" s="162">
        <f>Q21</f>
        <v>616.20000000000005</v>
      </c>
      <c r="E8" s="10">
        <v>0.1</v>
      </c>
      <c r="F8" s="170">
        <f t="shared" si="0"/>
        <v>47.4</v>
      </c>
      <c r="G8" s="170">
        <f>E8-E7</f>
        <v>0.1</v>
      </c>
      <c r="H8" s="170">
        <f t="shared" si="1"/>
        <v>13.000000000000002</v>
      </c>
      <c r="I8" s="170">
        <f>ATAN((H8-H7)/(E8-E7))*180/PI()</f>
        <v>0</v>
      </c>
    </row>
    <row r="9" spans="1:22" x14ac:dyDescent="0.2">
      <c r="C9" s="1" t="s">
        <v>74</v>
      </c>
      <c r="D9" s="162">
        <f>Q66</f>
        <v>616.19999999999993</v>
      </c>
      <c r="E9" s="170">
        <f>N66</f>
        <v>173.34107728770803</v>
      </c>
      <c r="F9" s="170">
        <f t="shared" si="0"/>
        <v>47.4</v>
      </c>
      <c r="G9" s="170">
        <f>E9-E8</f>
        <v>173.24107728770804</v>
      </c>
      <c r="H9" s="170">
        <f t="shared" si="1"/>
        <v>12.999999999999998</v>
      </c>
      <c r="I9" s="170">
        <f>ATAN((H9-H8)/(E9-E8))*180/PI()</f>
        <v>-1.1749840326587944E-15</v>
      </c>
    </row>
    <row r="10" spans="1:22" x14ac:dyDescent="0.2">
      <c r="C10" s="1" t="s">
        <v>19</v>
      </c>
      <c r="D10" s="162">
        <f>Q87</f>
        <v>2284.6799999999994</v>
      </c>
      <c r="E10" s="170">
        <f>N87</f>
        <v>200.1108211983817</v>
      </c>
      <c r="F10" s="170">
        <f t="shared" si="0"/>
        <v>47.4</v>
      </c>
      <c r="G10" s="170">
        <f>E10-E9</f>
        <v>26.769743910673668</v>
      </c>
      <c r="H10" s="170">
        <f t="shared" si="1"/>
        <v>48.199999999999989</v>
      </c>
      <c r="I10" s="170">
        <f>ATAN((H10-H9)/(E10-E9))*180/PI()</f>
        <v>52.74686282172447</v>
      </c>
    </row>
    <row r="11" spans="1:22" x14ac:dyDescent="0.2">
      <c r="C11" s="1" t="s">
        <v>76</v>
      </c>
      <c r="D11" s="171">
        <f>Q93</f>
        <v>2284.6799999999994</v>
      </c>
      <c r="E11" s="170">
        <f>N93</f>
        <v>261.60760736952085</v>
      </c>
      <c r="F11" s="170">
        <f t="shared" si="0"/>
        <v>47.4</v>
      </c>
      <c r="G11" s="170">
        <f>E11-E10</f>
        <v>61.496786171139149</v>
      </c>
      <c r="H11" s="170">
        <f t="shared" si="1"/>
        <v>48.199999999999989</v>
      </c>
      <c r="I11" s="170">
        <f>ATAN((H11-H10)/(E11-E10))*180/PI()</f>
        <v>0</v>
      </c>
    </row>
    <row r="13" spans="1:22" x14ac:dyDescent="0.2">
      <c r="O13" s="172" t="s">
        <v>75</v>
      </c>
      <c r="P13" s="172"/>
    </row>
    <row r="14" spans="1:22" x14ac:dyDescent="0.2">
      <c r="O14" s="170">
        <f>'ROAR TH'!D32</f>
        <v>47.4</v>
      </c>
      <c r="P14" s="170"/>
    </row>
    <row r="15" spans="1:22" x14ac:dyDescent="0.2">
      <c r="A15" s="11" t="s">
        <v>49</v>
      </c>
      <c r="B15" s="107"/>
      <c r="C15" s="22" t="s">
        <v>3</v>
      </c>
      <c r="D15" s="22" t="s">
        <v>4</v>
      </c>
      <c r="E15" s="107"/>
      <c r="F15" s="22" t="s">
        <v>3</v>
      </c>
      <c r="G15" s="22" t="s">
        <v>4</v>
      </c>
      <c r="H15" s="107"/>
      <c r="I15" s="22" t="s">
        <v>17</v>
      </c>
      <c r="J15" s="22" t="s">
        <v>3</v>
      </c>
      <c r="K15" s="22" t="s">
        <v>4</v>
      </c>
      <c r="L15" s="11" t="s">
        <v>50</v>
      </c>
      <c r="M15" s="22" t="s">
        <v>17</v>
      </c>
      <c r="N15" s="11" t="s">
        <v>1</v>
      </c>
      <c r="O15" s="11" t="s">
        <v>75</v>
      </c>
      <c r="P15" s="11" t="s">
        <v>7</v>
      </c>
      <c r="Q15" s="11" t="s">
        <v>55</v>
      </c>
      <c r="R15" s="107"/>
      <c r="S15" s="107"/>
      <c r="T15" s="107" t="s">
        <v>85</v>
      </c>
      <c r="U15" s="107"/>
      <c r="V15" s="107"/>
    </row>
    <row r="16" spans="1:22" x14ac:dyDescent="0.2">
      <c r="A16" s="11"/>
      <c r="B16" s="107"/>
      <c r="C16" s="148"/>
      <c r="D16" s="149"/>
      <c r="E16" s="150"/>
      <c r="F16" s="149"/>
      <c r="G16" s="149"/>
      <c r="H16" s="149"/>
      <c r="I16" s="149"/>
      <c r="J16" s="149"/>
      <c r="K16" s="149"/>
      <c r="L16" s="150"/>
      <c r="M16" s="150"/>
      <c r="N16" s="150"/>
      <c r="O16" s="150"/>
      <c r="P16" s="149"/>
      <c r="Q16" s="151"/>
      <c r="R16" s="177"/>
      <c r="S16" s="177"/>
      <c r="T16" s="177"/>
      <c r="U16" s="177"/>
      <c r="V16" s="177"/>
    </row>
    <row r="17" spans="1:22" x14ac:dyDescent="0.2">
      <c r="A17" s="11"/>
      <c r="B17" s="107"/>
      <c r="C17" s="152"/>
      <c r="D17" s="153"/>
      <c r="E17" s="173" t="s">
        <v>83</v>
      </c>
      <c r="F17" s="153"/>
      <c r="G17" s="153"/>
      <c r="H17" s="153"/>
      <c r="I17" s="153"/>
      <c r="J17" s="153"/>
      <c r="K17" s="153"/>
      <c r="L17" s="154"/>
      <c r="M17" s="154"/>
      <c r="N17" s="153"/>
      <c r="O17" s="153"/>
      <c r="P17" s="153"/>
      <c r="Q17" s="155"/>
      <c r="R17" s="177"/>
      <c r="S17" s="177"/>
      <c r="T17" s="177"/>
      <c r="U17" s="177"/>
      <c r="V17" s="177"/>
    </row>
    <row r="18" spans="1:22" x14ac:dyDescent="0.2">
      <c r="A18" s="11"/>
      <c r="B18" s="107"/>
      <c r="C18" s="156"/>
      <c r="D18" s="157"/>
      <c r="E18" s="157"/>
      <c r="F18" s="158"/>
      <c r="G18" s="159"/>
      <c r="H18" s="159"/>
      <c r="I18" s="159"/>
      <c r="J18" s="159"/>
      <c r="K18" s="159"/>
      <c r="L18" s="160"/>
      <c r="M18" s="159"/>
      <c r="N18" s="159">
        <f>-N24</f>
        <v>-33.29999999999999</v>
      </c>
      <c r="O18" s="159">
        <f>$O$14</f>
        <v>47.4</v>
      </c>
      <c r="P18" s="159">
        <v>2</v>
      </c>
      <c r="Q18" s="161">
        <f>'ROAR TH'!D11</f>
        <v>616.20000000000005</v>
      </c>
      <c r="R18" s="178">
        <f>Q18/2</f>
        <v>308.10000000000002</v>
      </c>
      <c r="S18" s="178">
        <f>-R18</f>
        <v>-308.10000000000002</v>
      </c>
      <c r="T18" s="177"/>
      <c r="U18" s="178">
        <f>(($D$9-$D$7)*N18/$E$9+$D$7)/2</f>
        <v>308.10000000000002</v>
      </c>
      <c r="V18" s="178">
        <f>-U18</f>
        <v>-308.10000000000002</v>
      </c>
    </row>
    <row r="19" spans="1:22" x14ac:dyDescent="0.2">
      <c r="A19" s="107"/>
      <c r="B19" s="107"/>
      <c r="C19" s="148">
        <f>Panels!C22</f>
        <v>43.4</v>
      </c>
      <c r="D19" s="149">
        <f>Panels!D22</f>
        <v>8.3000000000000007</v>
      </c>
      <c r="E19" s="150"/>
      <c r="F19" s="149">
        <f>IF('ROAR TH'!$I$6="x",C19,0)</f>
        <v>43.4</v>
      </c>
      <c r="G19" s="149">
        <f>IF('ROAR TH'!$I$6="x",D19,0)</f>
        <v>8.3000000000000007</v>
      </c>
      <c r="H19" s="149">
        <f>SUM(C19:C20)/2</f>
        <v>43.4</v>
      </c>
      <c r="I19" s="149">
        <f>SUM(D19:D20)/2</f>
        <v>5.0500000000000007</v>
      </c>
      <c r="J19" s="149">
        <f>IF('ROAR TH'!$I$5="x",H19,"")</f>
        <v>43.4</v>
      </c>
      <c r="K19" s="149">
        <f>IF('ROAR TH'!$I$5="x",I19,"")</f>
        <v>5.0500000000000007</v>
      </c>
      <c r="L19" s="150"/>
      <c r="M19" s="150"/>
      <c r="N19" s="150"/>
      <c r="O19" s="150"/>
      <c r="P19" s="149"/>
      <c r="Q19" s="151"/>
      <c r="R19" s="177"/>
      <c r="S19" s="177"/>
      <c r="T19" s="177"/>
      <c r="U19" s="177"/>
      <c r="V19" s="177"/>
    </row>
    <row r="20" spans="1:22" x14ac:dyDescent="0.2">
      <c r="A20" s="1">
        <f t="shared" ref="A20:A26" si="2">A23+1</f>
        <v>25</v>
      </c>
      <c r="B20" s="126">
        <v>1</v>
      </c>
      <c r="C20" s="152">
        <f>Panels!C21</f>
        <v>43.4</v>
      </c>
      <c r="D20" s="153">
        <f>Panels!D21</f>
        <v>1.8</v>
      </c>
      <c r="E20" s="173" t="s">
        <v>122</v>
      </c>
      <c r="F20" s="153">
        <f>IF('ROAR TH'!$I$6="x",C20,0)</f>
        <v>43.4</v>
      </c>
      <c r="G20" s="153">
        <f>IF('ROAR TH'!$I$6="x",D20,0)</f>
        <v>1.8</v>
      </c>
      <c r="H20" s="153"/>
      <c r="I20" s="153"/>
      <c r="J20" s="153">
        <f>J19</f>
        <v>43.4</v>
      </c>
      <c r="K20" s="153">
        <f>K19</f>
        <v>5.0500000000000007</v>
      </c>
      <c r="L20" s="154"/>
      <c r="M20" s="154"/>
      <c r="N20" s="153"/>
      <c r="O20" s="153"/>
      <c r="P20" s="153"/>
      <c r="Q20" s="155"/>
      <c r="R20" s="177"/>
      <c r="S20" s="177"/>
      <c r="T20" s="177"/>
      <c r="U20" s="177"/>
      <c r="V20" s="177"/>
    </row>
    <row r="21" spans="1:22" x14ac:dyDescent="0.2">
      <c r="A21" s="107"/>
      <c r="B21" s="11"/>
      <c r="C21" s="156"/>
      <c r="D21" s="157"/>
      <c r="E21" s="157"/>
      <c r="F21" s="158"/>
      <c r="G21" s="159"/>
      <c r="H21" s="159"/>
      <c r="I21" s="159"/>
      <c r="J21" s="159">
        <f>J20</f>
        <v>43.4</v>
      </c>
      <c r="K21" s="159">
        <f>K20</f>
        <v>5.0500000000000007</v>
      </c>
      <c r="L21" s="160"/>
      <c r="M21" s="159">
        <v>0</v>
      </c>
      <c r="N21" s="159">
        <f>M21</f>
        <v>0</v>
      </c>
      <c r="O21" s="159">
        <f>$O$14</f>
        <v>47.4</v>
      </c>
      <c r="P21" s="159">
        <v>2</v>
      </c>
      <c r="Q21" s="161">
        <f>((C19-C20)^2+(D19-D20)^2)^0.5*O21*P21</f>
        <v>616.20000000000005</v>
      </c>
      <c r="R21" s="178">
        <f t="shared" ref="R21:R24" si="3">Q21/2</f>
        <v>308.10000000000002</v>
      </c>
      <c r="S21" s="178">
        <f t="shared" ref="S21:S24" si="4">-R21</f>
        <v>-308.10000000000002</v>
      </c>
      <c r="T21" s="179">
        <f>(U21-R21)*2</f>
        <v>0</v>
      </c>
      <c r="U21" s="178">
        <f>$D$7/2</f>
        <v>308.10000000000002</v>
      </c>
      <c r="V21" s="178">
        <f t="shared" ref="V21:V24" si="5">-U21</f>
        <v>-308.10000000000002</v>
      </c>
    </row>
    <row r="22" spans="1:22" x14ac:dyDescent="0.2">
      <c r="A22" s="107"/>
      <c r="B22" s="11"/>
      <c r="C22" s="148">
        <f>Panels!C51</f>
        <v>76.699999999999989</v>
      </c>
      <c r="D22" s="149">
        <f>Panels!D51</f>
        <v>8.3000000000000007</v>
      </c>
      <c r="E22" s="150"/>
      <c r="F22" s="149">
        <f>IF('ROAR TH'!$I$6="x",C22,0)</f>
        <v>76.699999999999989</v>
      </c>
      <c r="G22" s="149">
        <f>IF('ROAR TH'!$I$6="x",D22,0)</f>
        <v>8.3000000000000007</v>
      </c>
      <c r="H22" s="149">
        <f>SUM(C22:C23)/2</f>
        <v>76.699999999999989</v>
      </c>
      <c r="I22" s="149">
        <f>SUM(D22:D23)/2</f>
        <v>5.0500000000000007</v>
      </c>
      <c r="J22" s="149">
        <f>IF('ROAR TH'!$I$5="x",H22,"")</f>
        <v>76.699999999999989</v>
      </c>
      <c r="K22" s="149">
        <f>IF('ROAR TH'!$I$5="x",I22,"")</f>
        <v>5.0500000000000007</v>
      </c>
      <c r="L22" s="150"/>
      <c r="M22" s="149">
        <f>M21</f>
        <v>0</v>
      </c>
      <c r="N22" s="149">
        <f>N21</f>
        <v>0</v>
      </c>
      <c r="O22" s="149"/>
      <c r="P22" s="149"/>
      <c r="Q22" s="163">
        <f>Q21</f>
        <v>616.20000000000005</v>
      </c>
      <c r="R22" s="178">
        <f t="shared" si="3"/>
        <v>308.10000000000002</v>
      </c>
      <c r="S22" s="178">
        <f t="shared" si="4"/>
        <v>-308.10000000000002</v>
      </c>
      <c r="T22" s="179">
        <f t="shared" ref="T22:T24" si="6">(U22-R22)*2</f>
        <v>0</v>
      </c>
      <c r="U22" s="178">
        <f t="shared" ref="U22:U66" si="7">$D$7/2</f>
        <v>308.10000000000002</v>
      </c>
      <c r="V22" s="178">
        <f t="shared" si="5"/>
        <v>-308.10000000000002</v>
      </c>
    </row>
    <row r="23" spans="1:22" x14ac:dyDescent="0.2">
      <c r="A23" s="1">
        <f t="shared" si="2"/>
        <v>24</v>
      </c>
      <c r="B23" s="126">
        <f>B20+1</f>
        <v>2</v>
      </c>
      <c r="C23" s="152">
        <f>C22</f>
        <v>76.699999999999989</v>
      </c>
      <c r="D23" s="153">
        <f>D20</f>
        <v>1.8</v>
      </c>
      <c r="E23" s="173"/>
      <c r="F23" s="153">
        <f>IF('ROAR TH'!$I$6="x",C23,0)</f>
        <v>76.699999999999989</v>
      </c>
      <c r="G23" s="153">
        <f>IF('ROAR TH'!$I$6="x",D23,0)</f>
        <v>1.8</v>
      </c>
      <c r="H23" s="153"/>
      <c r="I23" s="153"/>
      <c r="J23" s="153">
        <f>J22</f>
        <v>76.699999999999989</v>
      </c>
      <c r="K23" s="153">
        <f>K22</f>
        <v>5.0500000000000007</v>
      </c>
      <c r="L23" s="154"/>
      <c r="M23" s="153">
        <f>M22</f>
        <v>0</v>
      </c>
      <c r="N23" s="153">
        <f>N22</f>
        <v>0</v>
      </c>
      <c r="O23" s="153"/>
      <c r="P23" s="153"/>
      <c r="Q23" s="164">
        <f>Q22</f>
        <v>616.20000000000005</v>
      </c>
      <c r="R23" s="178">
        <f t="shared" si="3"/>
        <v>308.10000000000002</v>
      </c>
      <c r="S23" s="178">
        <f t="shared" si="4"/>
        <v>-308.10000000000002</v>
      </c>
      <c r="T23" s="179">
        <f t="shared" si="6"/>
        <v>0</v>
      </c>
      <c r="U23" s="178">
        <f t="shared" si="7"/>
        <v>308.10000000000002</v>
      </c>
      <c r="V23" s="178">
        <f t="shared" si="5"/>
        <v>-308.10000000000002</v>
      </c>
    </row>
    <row r="24" spans="1:22" x14ac:dyDescent="0.2">
      <c r="A24" s="107"/>
      <c r="B24" s="11"/>
      <c r="C24" s="165"/>
      <c r="D24" s="166"/>
      <c r="E24" s="166"/>
      <c r="F24" s="158"/>
      <c r="G24" s="159"/>
      <c r="H24" s="159"/>
      <c r="I24" s="159"/>
      <c r="J24" s="159">
        <f>J23</f>
        <v>76.699999999999989</v>
      </c>
      <c r="K24" s="159">
        <f>K23</f>
        <v>5.0500000000000007</v>
      </c>
      <c r="L24" s="166"/>
      <c r="M24" s="159">
        <f>((H22-H19)^2+(I22-I19)^2)^0.5</f>
        <v>33.29999999999999</v>
      </c>
      <c r="N24" s="159">
        <f>N21+M24</f>
        <v>33.29999999999999</v>
      </c>
      <c r="O24" s="159">
        <f>$O$14</f>
        <v>47.4</v>
      </c>
      <c r="P24" s="159">
        <v>2</v>
      </c>
      <c r="Q24" s="161">
        <f>((C22-C23)^2+(D22-D23)^2)^0.5*O24*P24</f>
        <v>616.20000000000005</v>
      </c>
      <c r="R24" s="178">
        <f t="shared" si="3"/>
        <v>308.10000000000002</v>
      </c>
      <c r="S24" s="178">
        <f t="shared" si="4"/>
        <v>-308.10000000000002</v>
      </c>
      <c r="T24" s="179">
        <f t="shared" si="6"/>
        <v>0</v>
      </c>
      <c r="U24" s="178">
        <f t="shared" si="7"/>
        <v>308.10000000000002</v>
      </c>
      <c r="V24" s="178">
        <f t="shared" si="5"/>
        <v>-308.10000000000002</v>
      </c>
    </row>
    <row r="25" spans="1:22" x14ac:dyDescent="0.2">
      <c r="A25" s="107"/>
      <c r="B25" s="11"/>
      <c r="C25" s="148">
        <f>C22</f>
        <v>76.699999999999989</v>
      </c>
      <c r="D25" s="149">
        <f>D22</f>
        <v>8.3000000000000007</v>
      </c>
      <c r="E25" s="150"/>
      <c r="F25" s="149">
        <f>IF('ROAR TH'!$I$6="x",C25,0)</f>
        <v>76.699999999999989</v>
      </c>
      <c r="G25" s="149">
        <f>IF('ROAR TH'!$I$6="x",D25,0)</f>
        <v>8.3000000000000007</v>
      </c>
      <c r="H25" s="149">
        <f>SUM(C25:C26)/2</f>
        <v>78.324999999999989</v>
      </c>
      <c r="I25" s="149">
        <f>SUM(D25:D26)/2</f>
        <v>5.0500000000000007</v>
      </c>
      <c r="J25" s="149">
        <f>IF('ROAR TH'!$I$5="x",H25,"")</f>
        <v>78.324999999999989</v>
      </c>
      <c r="K25" s="149">
        <f>IF('ROAR TH'!$I$5="x",I25,"")</f>
        <v>5.0500000000000007</v>
      </c>
      <c r="L25" s="150"/>
      <c r="M25" s="149">
        <f>M24</f>
        <v>33.29999999999999</v>
      </c>
      <c r="N25" s="149">
        <f>N24</f>
        <v>33.29999999999999</v>
      </c>
      <c r="O25" s="149"/>
      <c r="P25" s="149"/>
      <c r="Q25" s="163">
        <f>Q24</f>
        <v>616.20000000000005</v>
      </c>
      <c r="R25" s="178">
        <f t="shared" ref="R25:R81" si="8">Q25/2</f>
        <v>308.10000000000002</v>
      </c>
      <c r="S25" s="178">
        <f t="shared" ref="S25:S81" si="9">-R25</f>
        <v>-308.10000000000002</v>
      </c>
      <c r="T25" s="179">
        <f t="shared" ref="T25:T81" si="10">(U25-R25)*2</f>
        <v>0</v>
      </c>
      <c r="U25" s="178">
        <f t="shared" si="7"/>
        <v>308.10000000000002</v>
      </c>
      <c r="V25" s="178">
        <f t="shared" ref="V25:V81" si="11">-U25</f>
        <v>-308.10000000000002</v>
      </c>
    </row>
    <row r="26" spans="1:22" x14ac:dyDescent="0.2">
      <c r="A26" s="1">
        <f t="shared" si="2"/>
        <v>23</v>
      </c>
      <c r="B26" s="126">
        <f t="shared" ref="B26" si="12">B23+1</f>
        <v>3</v>
      </c>
      <c r="C26" s="152">
        <f>(C23+Panels!C10)/2</f>
        <v>79.949999999999989</v>
      </c>
      <c r="D26" s="153">
        <f>D20</f>
        <v>1.8</v>
      </c>
      <c r="E26" s="154"/>
      <c r="F26" s="153">
        <f>IF('ROAR TH'!$I$6="x",C26,0)</f>
        <v>79.949999999999989</v>
      </c>
      <c r="G26" s="153">
        <f>IF('ROAR TH'!$I$6="x",D26,0)</f>
        <v>1.8</v>
      </c>
      <c r="H26" s="154"/>
      <c r="I26" s="154"/>
      <c r="J26" s="153">
        <f>J25</f>
        <v>78.324999999999989</v>
      </c>
      <c r="K26" s="153">
        <f>K25</f>
        <v>5.0500000000000007</v>
      </c>
      <c r="L26" s="154"/>
      <c r="M26" s="153">
        <f>M25</f>
        <v>33.29999999999999</v>
      </c>
      <c r="N26" s="153">
        <f>N25</f>
        <v>33.29999999999999</v>
      </c>
      <c r="O26" s="153"/>
      <c r="P26" s="153"/>
      <c r="Q26" s="164">
        <f>Q25</f>
        <v>616.20000000000005</v>
      </c>
      <c r="R26" s="178">
        <f t="shared" si="8"/>
        <v>308.10000000000002</v>
      </c>
      <c r="S26" s="178">
        <f t="shared" si="9"/>
        <v>-308.10000000000002</v>
      </c>
      <c r="T26" s="179">
        <f t="shared" si="10"/>
        <v>0</v>
      </c>
      <c r="U26" s="178">
        <f t="shared" si="7"/>
        <v>308.10000000000002</v>
      </c>
      <c r="V26" s="178">
        <f t="shared" si="11"/>
        <v>-308.10000000000002</v>
      </c>
    </row>
    <row r="27" spans="1:22" x14ac:dyDescent="0.2">
      <c r="A27" s="107"/>
      <c r="B27" s="11"/>
      <c r="C27" s="167"/>
      <c r="D27" s="154"/>
      <c r="E27" s="154"/>
      <c r="F27" s="169"/>
      <c r="G27" s="153"/>
      <c r="H27" s="154"/>
      <c r="I27" s="154"/>
      <c r="J27" s="153">
        <f>J26</f>
        <v>78.324999999999989</v>
      </c>
      <c r="K27" s="153">
        <f>K26</f>
        <v>5.0500000000000007</v>
      </c>
      <c r="L27" s="166"/>
      <c r="M27" s="159">
        <f>((H25-H22)^2+(I25-I22)^2)^0.5</f>
        <v>1.625</v>
      </c>
      <c r="N27" s="159">
        <f>N24+M27</f>
        <v>34.92499999999999</v>
      </c>
      <c r="O27" s="159">
        <f>$O$14</f>
        <v>47.4</v>
      </c>
      <c r="P27" s="159">
        <v>2</v>
      </c>
      <c r="Q27" s="161">
        <f>((C25-C26)^2+(D25-D26)^2)^0.5*O27*P27</f>
        <v>688.93254386768535</v>
      </c>
      <c r="R27" s="178">
        <f t="shared" si="8"/>
        <v>344.46627193384268</v>
      </c>
      <c r="S27" s="178">
        <f t="shared" si="9"/>
        <v>-344.46627193384268</v>
      </c>
      <c r="T27" s="179">
        <f t="shared" si="10"/>
        <v>-72.732543867685308</v>
      </c>
      <c r="U27" s="178">
        <f t="shared" si="7"/>
        <v>308.10000000000002</v>
      </c>
      <c r="V27" s="178">
        <f t="shared" si="11"/>
        <v>-308.10000000000002</v>
      </c>
    </row>
    <row r="28" spans="1:22" x14ac:dyDescent="0.2">
      <c r="A28" s="107"/>
      <c r="B28" s="11"/>
      <c r="C28" s="148">
        <f>C25</f>
        <v>76.699999999999989</v>
      </c>
      <c r="D28" s="149">
        <f>D25</f>
        <v>8.3000000000000007</v>
      </c>
      <c r="E28" s="150"/>
      <c r="F28" s="149">
        <f>IF('ROAR TH'!$I$6="x",C28,0)</f>
        <v>76.699999999999989</v>
      </c>
      <c r="G28" s="149">
        <f>IF('ROAR TH'!$I$6="x",D28,0)</f>
        <v>8.3000000000000007</v>
      </c>
      <c r="H28" s="149">
        <f>SUM(C28:C29)/2</f>
        <v>79.949999999999989</v>
      </c>
      <c r="I28" s="149">
        <f>SUM(D28:D29)/2</f>
        <v>6.6750000000000007</v>
      </c>
      <c r="J28" s="149">
        <f>IF('ROAR TH'!$I$5="x",H28,"")</f>
        <v>79.949999999999989</v>
      </c>
      <c r="K28" s="149">
        <f>IF('ROAR TH'!$I$5="x",I28,"")</f>
        <v>6.6750000000000007</v>
      </c>
      <c r="L28" s="150"/>
      <c r="M28" s="149">
        <f>M27</f>
        <v>1.625</v>
      </c>
      <c r="N28" s="149">
        <f>N27</f>
        <v>34.92499999999999</v>
      </c>
      <c r="O28" s="149"/>
      <c r="P28" s="149"/>
      <c r="Q28" s="163">
        <f>Q27</f>
        <v>688.93254386768535</v>
      </c>
      <c r="R28" s="178">
        <f t="shared" si="8"/>
        <v>344.46627193384268</v>
      </c>
      <c r="S28" s="178">
        <f t="shared" si="9"/>
        <v>-344.46627193384268</v>
      </c>
      <c r="T28" s="179">
        <f t="shared" si="10"/>
        <v>-72.732543867685308</v>
      </c>
      <c r="U28" s="178">
        <f t="shared" si="7"/>
        <v>308.10000000000002</v>
      </c>
      <c r="V28" s="178">
        <f t="shared" si="11"/>
        <v>-308.10000000000002</v>
      </c>
    </row>
    <row r="29" spans="1:22" x14ac:dyDescent="0.2">
      <c r="A29" s="1">
        <f t="shared" ref="A29" si="13">A32+1</f>
        <v>22</v>
      </c>
      <c r="B29" s="126">
        <f t="shared" ref="B29" si="14">B26+1</f>
        <v>4</v>
      </c>
      <c r="C29" s="152">
        <f>Panels!C10</f>
        <v>83.2</v>
      </c>
      <c r="D29" s="153">
        <f>(D25+D26)/2</f>
        <v>5.0500000000000007</v>
      </c>
      <c r="E29" s="154"/>
      <c r="F29" s="153">
        <f>IF('ROAR TH'!$I$6="x",C29,0)</f>
        <v>83.2</v>
      </c>
      <c r="G29" s="153">
        <f>IF('ROAR TH'!$I$6="x",D29,0)</f>
        <v>5.0500000000000007</v>
      </c>
      <c r="H29" s="154"/>
      <c r="I29" s="154"/>
      <c r="J29" s="153">
        <f>J28</f>
        <v>79.949999999999989</v>
      </c>
      <c r="K29" s="153">
        <f>K28</f>
        <v>6.6750000000000007</v>
      </c>
      <c r="L29" s="154"/>
      <c r="M29" s="153">
        <f>M28</f>
        <v>1.625</v>
      </c>
      <c r="N29" s="153">
        <f>N28</f>
        <v>34.92499999999999</v>
      </c>
      <c r="O29" s="153"/>
      <c r="P29" s="153"/>
      <c r="Q29" s="164">
        <f>Q28</f>
        <v>688.93254386768535</v>
      </c>
      <c r="R29" s="178">
        <f t="shared" si="8"/>
        <v>344.46627193384268</v>
      </c>
      <c r="S29" s="178">
        <f t="shared" si="9"/>
        <v>-344.46627193384268</v>
      </c>
      <c r="T29" s="179">
        <f t="shared" si="10"/>
        <v>-72.732543867685308</v>
      </c>
      <c r="U29" s="178">
        <f t="shared" si="7"/>
        <v>308.10000000000002</v>
      </c>
      <c r="V29" s="178">
        <f t="shared" si="11"/>
        <v>-308.10000000000002</v>
      </c>
    </row>
    <row r="30" spans="1:22" x14ac:dyDescent="0.2">
      <c r="A30" s="107"/>
      <c r="B30" s="11"/>
      <c r="C30" s="167"/>
      <c r="D30" s="154"/>
      <c r="E30" s="154"/>
      <c r="F30" s="169"/>
      <c r="G30" s="153"/>
      <c r="H30" s="154"/>
      <c r="I30" s="154"/>
      <c r="J30" s="153">
        <f>J29</f>
        <v>79.949999999999989</v>
      </c>
      <c r="K30" s="153">
        <f>K29</f>
        <v>6.6750000000000007</v>
      </c>
      <c r="L30" s="166"/>
      <c r="M30" s="159">
        <f>((H28-H25)^2+(I28-I25)^2)^0.5</f>
        <v>2.2980970388562794</v>
      </c>
      <c r="N30" s="159">
        <f>N27+M30</f>
        <v>37.223097038856267</v>
      </c>
      <c r="O30" s="159">
        <f>$O$14</f>
        <v>47.4</v>
      </c>
      <c r="P30" s="159">
        <v>2</v>
      </c>
      <c r="Q30" s="161">
        <f>((C28-C29)^2+(D28-D29)^2)^0.5*O30*P30</f>
        <v>688.93254386768638</v>
      </c>
      <c r="R30" s="178">
        <f t="shared" si="8"/>
        <v>344.46627193384319</v>
      </c>
      <c r="S30" s="178">
        <f t="shared" si="9"/>
        <v>-344.46627193384319</v>
      </c>
      <c r="T30" s="179">
        <f t="shared" si="10"/>
        <v>-72.732543867686331</v>
      </c>
      <c r="U30" s="178">
        <f t="shared" si="7"/>
        <v>308.10000000000002</v>
      </c>
      <c r="V30" s="178">
        <f t="shared" si="11"/>
        <v>-308.10000000000002</v>
      </c>
    </row>
    <row r="31" spans="1:22" x14ac:dyDescent="0.2">
      <c r="A31" s="107"/>
      <c r="B31" s="11"/>
      <c r="C31" s="148">
        <f>C28</f>
        <v>76.699999999999989</v>
      </c>
      <c r="D31" s="149">
        <f>D28</f>
        <v>8.3000000000000007</v>
      </c>
      <c r="E31" s="150"/>
      <c r="F31" s="149">
        <f>IF('ROAR TH'!$I$6="x",C31,0)</f>
        <v>76.699999999999989</v>
      </c>
      <c r="G31" s="149">
        <f>IF('ROAR TH'!$I$6="x",D31,0)</f>
        <v>8.3000000000000007</v>
      </c>
      <c r="H31" s="149">
        <f>SUM(C31:C32)/2</f>
        <v>79.949999999999989</v>
      </c>
      <c r="I31" s="149">
        <f>SUM(D31:D32)/2</f>
        <v>8.3000000000000007</v>
      </c>
      <c r="J31" s="149">
        <f>IF('ROAR TH'!$I$5="x",H31,"")</f>
        <v>79.949999999999989</v>
      </c>
      <c r="K31" s="149">
        <f>IF('ROAR TH'!$I$5="x",I31,"")</f>
        <v>8.3000000000000007</v>
      </c>
      <c r="L31" s="150"/>
      <c r="M31" s="149">
        <f>M30</f>
        <v>2.2980970388562794</v>
      </c>
      <c r="N31" s="149">
        <f>N30</f>
        <v>37.223097038856267</v>
      </c>
      <c r="O31" s="149"/>
      <c r="P31" s="149"/>
      <c r="Q31" s="163">
        <f>Q30</f>
        <v>688.93254386768638</v>
      </c>
      <c r="R31" s="178">
        <f t="shared" si="8"/>
        <v>344.46627193384319</v>
      </c>
      <c r="S31" s="178">
        <f t="shared" si="9"/>
        <v>-344.46627193384319</v>
      </c>
      <c r="T31" s="179">
        <f t="shared" si="10"/>
        <v>-72.732543867686331</v>
      </c>
      <c r="U31" s="178">
        <f t="shared" si="7"/>
        <v>308.10000000000002</v>
      </c>
      <c r="V31" s="178">
        <f t="shared" si="11"/>
        <v>-308.10000000000002</v>
      </c>
    </row>
    <row r="32" spans="1:22" x14ac:dyDescent="0.2">
      <c r="A32" s="1">
        <f t="shared" ref="A32" si="15">A35+1</f>
        <v>21</v>
      </c>
      <c r="B32" s="126">
        <f t="shared" ref="B32" si="16">B29+1</f>
        <v>5</v>
      </c>
      <c r="C32" s="152">
        <f>Panels!C13</f>
        <v>83.2</v>
      </c>
      <c r="D32" s="153">
        <f>D31</f>
        <v>8.3000000000000007</v>
      </c>
      <c r="E32" s="154"/>
      <c r="F32" s="153">
        <f>IF('ROAR TH'!$I$6="x",C32,0)</f>
        <v>83.2</v>
      </c>
      <c r="G32" s="153">
        <f>IF('ROAR TH'!$I$6="x",D32,0)</f>
        <v>8.3000000000000007</v>
      </c>
      <c r="H32" s="154"/>
      <c r="I32" s="154"/>
      <c r="J32" s="153">
        <f>J31</f>
        <v>79.949999999999989</v>
      </c>
      <c r="K32" s="153">
        <f>K31</f>
        <v>8.3000000000000007</v>
      </c>
      <c r="L32" s="154"/>
      <c r="M32" s="153">
        <f>M31</f>
        <v>2.2980970388562794</v>
      </c>
      <c r="N32" s="153">
        <f>N31</f>
        <v>37.223097038856267</v>
      </c>
      <c r="O32" s="153"/>
      <c r="P32" s="153"/>
      <c r="Q32" s="164">
        <f>Q31</f>
        <v>688.93254386768638</v>
      </c>
      <c r="R32" s="178">
        <f t="shared" si="8"/>
        <v>344.46627193384319</v>
      </c>
      <c r="S32" s="178">
        <f t="shared" si="9"/>
        <v>-344.46627193384319</v>
      </c>
      <c r="T32" s="179">
        <f t="shared" si="10"/>
        <v>-72.732543867686331</v>
      </c>
      <c r="U32" s="178">
        <f t="shared" si="7"/>
        <v>308.10000000000002</v>
      </c>
      <c r="V32" s="178">
        <f t="shared" si="11"/>
        <v>-308.10000000000002</v>
      </c>
    </row>
    <row r="33" spans="1:22" x14ac:dyDescent="0.2">
      <c r="A33" s="107"/>
      <c r="B33" s="11"/>
      <c r="C33" s="165"/>
      <c r="D33" s="166"/>
      <c r="E33" s="166"/>
      <c r="F33" s="158"/>
      <c r="G33" s="159"/>
      <c r="H33" s="166"/>
      <c r="I33" s="166"/>
      <c r="J33" s="159">
        <f>J32</f>
        <v>79.949999999999989</v>
      </c>
      <c r="K33" s="159">
        <f>K32</f>
        <v>8.3000000000000007</v>
      </c>
      <c r="L33" s="166"/>
      <c r="M33" s="159">
        <f>((H31-H28)^2+(I31-I28)^2)^0.5</f>
        <v>1.625</v>
      </c>
      <c r="N33" s="159">
        <f>N30+M33</f>
        <v>38.848097038856267</v>
      </c>
      <c r="O33" s="159">
        <f>$O$14</f>
        <v>47.4</v>
      </c>
      <c r="P33" s="159">
        <v>2</v>
      </c>
      <c r="Q33" s="161">
        <f>((C31-C32)^2+(D31-D32)^2)^0.5*O33*P33</f>
        <v>616.2000000000013</v>
      </c>
      <c r="R33" s="178">
        <f t="shared" si="8"/>
        <v>308.10000000000065</v>
      </c>
      <c r="S33" s="178">
        <f t="shared" si="9"/>
        <v>-308.10000000000065</v>
      </c>
      <c r="T33" s="179">
        <f t="shared" si="10"/>
        <v>-1.2505552149377763E-12</v>
      </c>
      <c r="U33" s="178">
        <f t="shared" si="7"/>
        <v>308.10000000000002</v>
      </c>
      <c r="V33" s="178">
        <f t="shared" si="11"/>
        <v>-308.10000000000002</v>
      </c>
    </row>
    <row r="34" spans="1:22" x14ac:dyDescent="0.2">
      <c r="A34" s="107"/>
      <c r="B34" s="11"/>
      <c r="C34" s="152">
        <f>Panels!C10</f>
        <v>83.2</v>
      </c>
      <c r="D34" s="153">
        <f>D35</f>
        <v>76.700000000000017</v>
      </c>
      <c r="E34" s="154"/>
      <c r="F34" s="153">
        <f>IF('ROAR TH'!$I$6="x",C34,0)</f>
        <v>83.2</v>
      </c>
      <c r="G34" s="153">
        <f>IF('ROAR TH'!$I$6="x",D34,0)</f>
        <v>76.700000000000017</v>
      </c>
      <c r="H34" s="153">
        <f>SUM(C34:C35)/2</f>
        <v>79.949999999999989</v>
      </c>
      <c r="I34" s="153">
        <f>SUM(D34:D35)/2</f>
        <v>76.700000000000017</v>
      </c>
      <c r="J34" s="153">
        <f>IF('ROAR TH'!$I$5="x",H34,"")</f>
        <v>79.949999999999989</v>
      </c>
      <c r="K34" s="153">
        <f>IF('ROAR TH'!$I$5="x",I34,"")</f>
        <v>76.700000000000017</v>
      </c>
      <c r="L34" s="150"/>
      <c r="M34" s="149">
        <f>M33</f>
        <v>1.625</v>
      </c>
      <c r="N34" s="149">
        <f>N33</f>
        <v>38.848097038856267</v>
      </c>
      <c r="O34" s="149"/>
      <c r="P34" s="149"/>
      <c r="Q34" s="163">
        <f>Q33</f>
        <v>616.2000000000013</v>
      </c>
      <c r="R34" s="178">
        <f t="shared" si="8"/>
        <v>308.10000000000065</v>
      </c>
      <c r="S34" s="178">
        <f t="shared" si="9"/>
        <v>-308.10000000000065</v>
      </c>
      <c r="T34" s="179">
        <f t="shared" si="10"/>
        <v>-1.2505552149377763E-12</v>
      </c>
      <c r="U34" s="178">
        <f t="shared" si="7"/>
        <v>308.10000000000002</v>
      </c>
      <c r="V34" s="178">
        <f t="shared" si="11"/>
        <v>-308.10000000000002</v>
      </c>
    </row>
    <row r="35" spans="1:22" x14ac:dyDescent="0.2">
      <c r="A35" s="1">
        <f t="shared" ref="A35" si="17">A38+1</f>
        <v>20</v>
      </c>
      <c r="B35" s="126">
        <f t="shared" ref="B35" si="18">B32+1</f>
        <v>6</v>
      </c>
      <c r="C35" s="152">
        <f>Panels!C$65</f>
        <v>76.699999999999989</v>
      </c>
      <c r="D35" s="153">
        <f>Panels!D$65</f>
        <v>76.700000000000017</v>
      </c>
      <c r="E35" s="173"/>
      <c r="F35" s="153">
        <f>IF('ROAR TH'!$I$6="x",C35,0)</f>
        <v>76.699999999999989</v>
      </c>
      <c r="G35" s="153">
        <f>IF('ROAR TH'!$I$6="x",D35,0)</f>
        <v>76.700000000000017</v>
      </c>
      <c r="H35" s="168"/>
      <c r="I35" s="169"/>
      <c r="J35" s="153">
        <f>J34</f>
        <v>79.949999999999989</v>
      </c>
      <c r="K35" s="153">
        <f>K34</f>
        <v>76.700000000000017</v>
      </c>
      <c r="L35" s="154"/>
      <c r="M35" s="153">
        <f>M34</f>
        <v>1.625</v>
      </c>
      <c r="N35" s="153">
        <f>N34</f>
        <v>38.848097038856267</v>
      </c>
      <c r="O35" s="153"/>
      <c r="P35" s="153"/>
      <c r="Q35" s="164">
        <f>Q34</f>
        <v>616.2000000000013</v>
      </c>
      <c r="R35" s="178">
        <f t="shared" si="8"/>
        <v>308.10000000000065</v>
      </c>
      <c r="S35" s="178">
        <f t="shared" si="9"/>
        <v>-308.10000000000065</v>
      </c>
      <c r="T35" s="179">
        <f t="shared" si="10"/>
        <v>-1.2505552149377763E-12</v>
      </c>
      <c r="U35" s="178">
        <f t="shared" si="7"/>
        <v>308.10000000000002</v>
      </c>
      <c r="V35" s="178">
        <f t="shared" si="11"/>
        <v>-308.10000000000002</v>
      </c>
    </row>
    <row r="36" spans="1:22" x14ac:dyDescent="0.2">
      <c r="A36" s="107"/>
      <c r="B36" s="11"/>
      <c r="C36" s="165"/>
      <c r="D36" s="166"/>
      <c r="E36" s="166"/>
      <c r="F36" s="158"/>
      <c r="G36" s="159"/>
      <c r="H36" s="166"/>
      <c r="I36" s="166"/>
      <c r="J36" s="159">
        <f>J35</f>
        <v>79.949999999999989</v>
      </c>
      <c r="K36" s="159">
        <f>K35</f>
        <v>76.700000000000017</v>
      </c>
      <c r="L36" s="166"/>
      <c r="M36" s="159">
        <f>((H34-H31)^2+(I34-I31)^2)^0.5</f>
        <v>68.40000000000002</v>
      </c>
      <c r="N36" s="159">
        <f>N33+M36</f>
        <v>107.24809703885629</v>
      </c>
      <c r="O36" s="159">
        <f>$O$14</f>
        <v>47.4</v>
      </c>
      <c r="P36" s="159">
        <v>2</v>
      </c>
      <c r="Q36" s="161">
        <f>((C34-C35)^2+(D34-D35)^2)^0.5*O36*P36</f>
        <v>616.2000000000013</v>
      </c>
      <c r="R36" s="178">
        <f t="shared" si="8"/>
        <v>308.10000000000065</v>
      </c>
      <c r="S36" s="178">
        <f t="shared" si="9"/>
        <v>-308.10000000000065</v>
      </c>
      <c r="T36" s="179">
        <f t="shared" si="10"/>
        <v>-1.2505552149377763E-12</v>
      </c>
      <c r="U36" s="178">
        <f t="shared" si="7"/>
        <v>308.10000000000002</v>
      </c>
      <c r="V36" s="178">
        <f t="shared" si="11"/>
        <v>-308.10000000000002</v>
      </c>
    </row>
    <row r="37" spans="1:22" x14ac:dyDescent="0.2">
      <c r="A37" s="107"/>
      <c r="B37" s="11"/>
      <c r="C37" s="152">
        <f>C34</f>
        <v>83.2</v>
      </c>
      <c r="D37" s="153">
        <f>(D35+Panels!D42)/2</f>
        <v>79.950000000000017</v>
      </c>
      <c r="E37" s="154"/>
      <c r="F37" s="153">
        <f>IF('ROAR TH'!$I$6="x",C37,0)</f>
        <v>83.2</v>
      </c>
      <c r="G37" s="153">
        <f>IF('ROAR TH'!$I$6="x",D37,0)</f>
        <v>79.950000000000017</v>
      </c>
      <c r="H37" s="153">
        <f>SUM(C37:C38)/2</f>
        <v>79.949999999999989</v>
      </c>
      <c r="I37" s="153">
        <f>SUM(D37:D38)/2</f>
        <v>78.325000000000017</v>
      </c>
      <c r="J37" s="153">
        <f>IF('ROAR TH'!$I$5="x",H37,"")</f>
        <v>79.949999999999989</v>
      </c>
      <c r="K37" s="153">
        <f>IF('ROAR TH'!$I$5="x",I37,"")</f>
        <v>78.325000000000017</v>
      </c>
      <c r="L37" s="150"/>
      <c r="M37" s="149">
        <f>M36</f>
        <v>68.40000000000002</v>
      </c>
      <c r="N37" s="149">
        <f>N36</f>
        <v>107.24809703885629</v>
      </c>
      <c r="O37" s="149"/>
      <c r="P37" s="149"/>
      <c r="Q37" s="163">
        <f>Q36</f>
        <v>616.2000000000013</v>
      </c>
      <c r="R37" s="178">
        <f t="shared" si="8"/>
        <v>308.10000000000065</v>
      </c>
      <c r="S37" s="178">
        <f t="shared" si="9"/>
        <v>-308.10000000000065</v>
      </c>
      <c r="T37" s="179">
        <f t="shared" si="10"/>
        <v>-1.2505552149377763E-12</v>
      </c>
      <c r="U37" s="178">
        <f t="shared" si="7"/>
        <v>308.10000000000002</v>
      </c>
      <c r="V37" s="178">
        <f t="shared" si="11"/>
        <v>-308.10000000000002</v>
      </c>
    </row>
    <row r="38" spans="1:22" x14ac:dyDescent="0.2">
      <c r="A38" s="1">
        <f t="shared" ref="A38" si="19">A41+1</f>
        <v>19</v>
      </c>
      <c r="B38" s="126">
        <f t="shared" ref="B38" si="20">B35+1</f>
        <v>7</v>
      </c>
      <c r="C38" s="152">
        <f>C35</f>
        <v>76.699999999999989</v>
      </c>
      <c r="D38" s="153">
        <f>D35</f>
        <v>76.700000000000017</v>
      </c>
      <c r="E38" s="154"/>
      <c r="F38" s="153">
        <f>IF('ROAR TH'!$I$6="x",C38,0)</f>
        <v>76.699999999999989</v>
      </c>
      <c r="G38" s="153">
        <f>IF('ROAR TH'!$I$6="x",D38,0)</f>
        <v>76.700000000000017</v>
      </c>
      <c r="H38" s="168"/>
      <c r="I38" s="169"/>
      <c r="J38" s="153">
        <f>J37</f>
        <v>79.949999999999989</v>
      </c>
      <c r="K38" s="153">
        <f>K37</f>
        <v>78.325000000000017</v>
      </c>
      <c r="L38" s="154"/>
      <c r="M38" s="153">
        <f>M37</f>
        <v>68.40000000000002</v>
      </c>
      <c r="N38" s="153">
        <f>N37</f>
        <v>107.24809703885629</v>
      </c>
      <c r="O38" s="153"/>
      <c r="P38" s="153"/>
      <c r="Q38" s="164">
        <f>Q37</f>
        <v>616.2000000000013</v>
      </c>
      <c r="R38" s="178">
        <f t="shared" si="8"/>
        <v>308.10000000000065</v>
      </c>
      <c r="S38" s="178">
        <f t="shared" si="9"/>
        <v>-308.10000000000065</v>
      </c>
      <c r="T38" s="179">
        <f t="shared" si="10"/>
        <v>-1.2505552149377763E-12</v>
      </c>
      <c r="U38" s="178">
        <f t="shared" si="7"/>
        <v>308.10000000000002</v>
      </c>
      <c r="V38" s="178">
        <f t="shared" si="11"/>
        <v>-308.10000000000002</v>
      </c>
    </row>
    <row r="39" spans="1:22" x14ac:dyDescent="0.2">
      <c r="A39" s="107"/>
      <c r="B39" s="11"/>
      <c r="C39" s="167"/>
      <c r="D39" s="154"/>
      <c r="E39" s="154"/>
      <c r="F39" s="158"/>
      <c r="G39" s="159"/>
      <c r="H39" s="154"/>
      <c r="I39" s="154"/>
      <c r="J39" s="153">
        <f>J38</f>
        <v>79.949999999999989</v>
      </c>
      <c r="K39" s="153">
        <f>K38</f>
        <v>78.325000000000017</v>
      </c>
      <c r="L39" s="166"/>
      <c r="M39" s="159">
        <f>((H37-H34)^2+(I37-I34)^2)^0.5</f>
        <v>1.625</v>
      </c>
      <c r="N39" s="159">
        <f>N36+M39</f>
        <v>108.87309703885629</v>
      </c>
      <c r="O39" s="159">
        <f>$O$14</f>
        <v>47.4</v>
      </c>
      <c r="P39" s="159">
        <v>2</v>
      </c>
      <c r="Q39" s="161">
        <f>((C37-C38)^2+(D37-D38)^2)^0.5*O39*P39</f>
        <v>688.93254386768638</v>
      </c>
      <c r="R39" s="178">
        <f t="shared" si="8"/>
        <v>344.46627193384319</v>
      </c>
      <c r="S39" s="178">
        <f t="shared" si="9"/>
        <v>-344.46627193384319</v>
      </c>
      <c r="T39" s="179">
        <f t="shared" si="10"/>
        <v>-72.732543867686331</v>
      </c>
      <c r="U39" s="178">
        <f t="shared" si="7"/>
        <v>308.10000000000002</v>
      </c>
      <c r="V39" s="178">
        <f t="shared" si="11"/>
        <v>-308.10000000000002</v>
      </c>
    </row>
    <row r="40" spans="1:22" x14ac:dyDescent="0.2">
      <c r="A40" s="107"/>
      <c r="B40" s="11"/>
      <c r="C40" s="148">
        <f>(C37+C38)/2</f>
        <v>79.949999999999989</v>
      </c>
      <c r="D40" s="149">
        <f>Panels!D42</f>
        <v>83.2</v>
      </c>
      <c r="E40" s="150"/>
      <c r="F40" s="149">
        <f>IF('ROAR TH'!$I$6="x",C40,0)</f>
        <v>79.949999999999989</v>
      </c>
      <c r="G40" s="149">
        <f>IF('ROAR TH'!$I$6="x",D40,0)</f>
        <v>83.2</v>
      </c>
      <c r="H40" s="149">
        <f>SUM(C40:C41)/2</f>
        <v>78.324999999999989</v>
      </c>
      <c r="I40" s="149">
        <f>SUM(D40:D41)/2</f>
        <v>79.950000000000017</v>
      </c>
      <c r="J40" s="149">
        <f>IF('ROAR TH'!$I$5="x",H40,"")</f>
        <v>78.324999999999989</v>
      </c>
      <c r="K40" s="149">
        <f>IF('ROAR TH'!$I$5="x",I40,"")</f>
        <v>79.950000000000017</v>
      </c>
      <c r="L40" s="150"/>
      <c r="M40" s="149">
        <f>M39</f>
        <v>1.625</v>
      </c>
      <c r="N40" s="149">
        <f>N39</f>
        <v>108.87309703885629</v>
      </c>
      <c r="O40" s="149"/>
      <c r="P40" s="149"/>
      <c r="Q40" s="163">
        <f>Q39</f>
        <v>688.93254386768638</v>
      </c>
      <c r="R40" s="178">
        <f t="shared" si="8"/>
        <v>344.46627193384319</v>
      </c>
      <c r="S40" s="178">
        <f t="shared" si="9"/>
        <v>-344.46627193384319</v>
      </c>
      <c r="T40" s="179">
        <f t="shared" si="10"/>
        <v>-72.732543867686331</v>
      </c>
      <c r="U40" s="178">
        <f t="shared" si="7"/>
        <v>308.10000000000002</v>
      </c>
      <c r="V40" s="178">
        <f t="shared" si="11"/>
        <v>-308.10000000000002</v>
      </c>
    </row>
    <row r="41" spans="1:22" x14ac:dyDescent="0.2">
      <c r="A41" s="1">
        <f t="shared" ref="A41" si="21">A44+1</f>
        <v>18</v>
      </c>
      <c r="B41" s="126">
        <f t="shared" ref="B41" si="22">B38+1</f>
        <v>8</v>
      </c>
      <c r="C41" s="152">
        <f>C38</f>
        <v>76.699999999999989</v>
      </c>
      <c r="D41" s="153">
        <f>D38</f>
        <v>76.700000000000017</v>
      </c>
      <c r="E41" s="154"/>
      <c r="F41" s="153">
        <f>IF('ROAR TH'!$I$6="x",C41,0)</f>
        <v>76.699999999999989</v>
      </c>
      <c r="G41" s="153">
        <f>IF('ROAR TH'!$I$6="x",D41,0)</f>
        <v>76.700000000000017</v>
      </c>
      <c r="H41" s="168"/>
      <c r="I41" s="169"/>
      <c r="J41" s="153">
        <f>J40</f>
        <v>78.324999999999989</v>
      </c>
      <c r="K41" s="153">
        <f>K40</f>
        <v>79.950000000000017</v>
      </c>
      <c r="L41" s="154"/>
      <c r="M41" s="153">
        <f>M40</f>
        <v>1.625</v>
      </c>
      <c r="N41" s="153">
        <f>N40</f>
        <v>108.87309703885629</v>
      </c>
      <c r="O41" s="153"/>
      <c r="P41" s="153"/>
      <c r="Q41" s="164">
        <f>Q40</f>
        <v>688.93254386768638</v>
      </c>
      <c r="R41" s="178">
        <f t="shared" si="8"/>
        <v>344.46627193384319</v>
      </c>
      <c r="S41" s="178">
        <f t="shared" si="9"/>
        <v>-344.46627193384319</v>
      </c>
      <c r="T41" s="179">
        <f t="shared" si="10"/>
        <v>-72.732543867686331</v>
      </c>
      <c r="U41" s="178">
        <f t="shared" si="7"/>
        <v>308.10000000000002</v>
      </c>
      <c r="V41" s="178">
        <f t="shared" si="11"/>
        <v>-308.10000000000002</v>
      </c>
    </row>
    <row r="42" spans="1:22" x14ac:dyDescent="0.2">
      <c r="A42" s="107"/>
      <c r="B42" s="11"/>
      <c r="C42" s="165"/>
      <c r="D42" s="166"/>
      <c r="E42" s="166"/>
      <c r="F42" s="158"/>
      <c r="G42" s="159"/>
      <c r="H42" s="166"/>
      <c r="I42" s="166"/>
      <c r="J42" s="159">
        <f>J41</f>
        <v>78.324999999999989</v>
      </c>
      <c r="K42" s="159">
        <f>K41</f>
        <v>79.950000000000017</v>
      </c>
      <c r="L42" s="166"/>
      <c r="M42" s="159">
        <f>((H40-H37)^2+(I40-I37)^2)^0.5</f>
        <v>2.2980970388562794</v>
      </c>
      <c r="N42" s="159">
        <f>N39+M42</f>
        <v>111.17119407771257</v>
      </c>
      <c r="O42" s="159">
        <f>$O$14</f>
        <v>47.4</v>
      </c>
      <c r="P42" s="159">
        <v>2</v>
      </c>
      <c r="Q42" s="161">
        <f>((C40-C41)^2+(D40-D41)^2)^0.5*O42*P42</f>
        <v>688.93254386768399</v>
      </c>
      <c r="R42" s="178">
        <f t="shared" si="8"/>
        <v>344.46627193384199</v>
      </c>
      <c r="S42" s="178">
        <f t="shared" si="9"/>
        <v>-344.46627193384199</v>
      </c>
      <c r="T42" s="179">
        <f t="shared" si="10"/>
        <v>-72.732543867683944</v>
      </c>
      <c r="U42" s="178">
        <f t="shared" si="7"/>
        <v>308.10000000000002</v>
      </c>
      <c r="V42" s="178">
        <f t="shared" si="11"/>
        <v>-308.10000000000002</v>
      </c>
    </row>
    <row r="43" spans="1:22" x14ac:dyDescent="0.2">
      <c r="A43" s="107"/>
      <c r="B43" s="11"/>
      <c r="C43" s="152">
        <f>C41</f>
        <v>76.699999999999989</v>
      </c>
      <c r="D43" s="153">
        <f>D40</f>
        <v>83.2</v>
      </c>
      <c r="E43" s="154"/>
      <c r="F43" s="149">
        <f>IF('ROAR TH'!$I$6="x",C43,0)</f>
        <v>76.699999999999989</v>
      </c>
      <c r="G43" s="149">
        <f>IF('ROAR TH'!$I$6="x",D43,0)</f>
        <v>83.2</v>
      </c>
      <c r="H43" s="153">
        <f>SUM(C43:C44)/2</f>
        <v>76.699999999999989</v>
      </c>
      <c r="I43" s="153">
        <f>SUM(D43:D44)/2</f>
        <v>79.950000000000017</v>
      </c>
      <c r="J43" s="153">
        <f>IF('ROAR TH'!$I$5="x",H43,"")</f>
        <v>76.699999999999989</v>
      </c>
      <c r="K43" s="153">
        <f>IF('ROAR TH'!$I$5="x",I43,"")</f>
        <v>79.950000000000017</v>
      </c>
      <c r="L43" s="154"/>
      <c r="M43" s="153">
        <f>M39</f>
        <v>1.625</v>
      </c>
      <c r="N43" s="153">
        <f>N42</f>
        <v>111.17119407771257</v>
      </c>
      <c r="O43" s="149"/>
      <c r="P43" s="149"/>
      <c r="Q43" s="163">
        <f t="shared" ref="Q43:Q44" si="23">Q42</f>
        <v>688.93254386768399</v>
      </c>
      <c r="R43" s="178">
        <f t="shared" si="8"/>
        <v>344.46627193384199</v>
      </c>
      <c r="S43" s="178">
        <f t="shared" si="9"/>
        <v>-344.46627193384199</v>
      </c>
      <c r="T43" s="179">
        <f t="shared" si="10"/>
        <v>-72.732543867683944</v>
      </c>
      <c r="U43" s="178">
        <f t="shared" si="7"/>
        <v>308.10000000000002</v>
      </c>
      <c r="V43" s="178">
        <f t="shared" si="11"/>
        <v>-308.10000000000002</v>
      </c>
    </row>
    <row r="44" spans="1:22" x14ac:dyDescent="0.2">
      <c r="A44" s="1">
        <f t="shared" ref="A44" si="24">A47+1</f>
        <v>17</v>
      </c>
      <c r="B44" s="126">
        <f t="shared" ref="B44" si="25">B41+1</f>
        <v>9</v>
      </c>
      <c r="C44" s="152">
        <f>C41</f>
        <v>76.699999999999989</v>
      </c>
      <c r="D44" s="153">
        <f>D41</f>
        <v>76.700000000000017</v>
      </c>
      <c r="E44" s="154"/>
      <c r="F44" s="153">
        <f>IF('ROAR TH'!$I$6="x",C44,0)</f>
        <v>76.699999999999989</v>
      </c>
      <c r="G44" s="153">
        <f>IF('ROAR TH'!$I$6="x",D44,0)</f>
        <v>76.700000000000017</v>
      </c>
      <c r="H44" s="168"/>
      <c r="I44" s="169"/>
      <c r="J44" s="153">
        <f>J43</f>
        <v>76.699999999999989</v>
      </c>
      <c r="K44" s="153">
        <f>K43</f>
        <v>79.950000000000017</v>
      </c>
      <c r="L44" s="154"/>
      <c r="M44" s="153">
        <f>M43</f>
        <v>1.625</v>
      </c>
      <c r="N44" s="153">
        <f>N43</f>
        <v>111.17119407771257</v>
      </c>
      <c r="O44" s="153"/>
      <c r="P44" s="153"/>
      <c r="Q44" s="164">
        <f t="shared" si="23"/>
        <v>688.93254386768399</v>
      </c>
      <c r="R44" s="178">
        <f t="shared" si="8"/>
        <v>344.46627193384199</v>
      </c>
      <c r="S44" s="178">
        <f t="shared" si="9"/>
        <v>-344.46627193384199</v>
      </c>
      <c r="T44" s="179">
        <f t="shared" si="10"/>
        <v>-72.732543867683944</v>
      </c>
      <c r="U44" s="178">
        <f t="shared" si="7"/>
        <v>308.10000000000002</v>
      </c>
      <c r="V44" s="178">
        <f t="shared" si="11"/>
        <v>-308.10000000000002</v>
      </c>
    </row>
    <row r="45" spans="1:22" x14ac:dyDescent="0.2">
      <c r="A45" s="107"/>
      <c r="B45" s="11"/>
      <c r="C45" s="167"/>
      <c r="D45" s="154"/>
      <c r="E45" s="154"/>
      <c r="F45" s="169"/>
      <c r="G45" s="153"/>
      <c r="H45" s="154"/>
      <c r="I45" s="154"/>
      <c r="J45" s="153">
        <f>J44</f>
        <v>76.699999999999989</v>
      </c>
      <c r="K45" s="153">
        <f>K44</f>
        <v>79.950000000000017</v>
      </c>
      <c r="L45" s="154"/>
      <c r="M45" s="153">
        <f>((H43-H40)^2+(I43-I40)^2)^0.5</f>
        <v>1.625</v>
      </c>
      <c r="N45" s="153">
        <f>N42+M45</f>
        <v>112.79619407771257</v>
      </c>
      <c r="O45" s="153">
        <f t="shared" ref="O45" si="26">$O$14</f>
        <v>47.4</v>
      </c>
      <c r="P45" s="153">
        <v>2</v>
      </c>
      <c r="Q45" s="164">
        <f t="shared" ref="Q45" si="27">((C43-C44)^2+(D43-D44)^2)^0.5*O45*P45</f>
        <v>616.19999999999868</v>
      </c>
      <c r="R45" s="178">
        <f t="shared" si="8"/>
        <v>308.09999999999934</v>
      </c>
      <c r="S45" s="178">
        <f t="shared" si="9"/>
        <v>-308.09999999999934</v>
      </c>
      <c r="T45" s="179">
        <f t="shared" si="10"/>
        <v>1.3642420526593924E-12</v>
      </c>
      <c r="U45" s="178">
        <f t="shared" si="7"/>
        <v>308.10000000000002</v>
      </c>
      <c r="V45" s="178">
        <f t="shared" si="11"/>
        <v>-308.10000000000002</v>
      </c>
    </row>
    <row r="46" spans="1:22" x14ac:dyDescent="0.2">
      <c r="A46" s="107"/>
      <c r="B46" s="11"/>
      <c r="C46" s="148">
        <f>(C43+C49)/2</f>
        <v>75.799999999999983</v>
      </c>
      <c r="D46" s="149">
        <f>D44</f>
        <v>76.700000000000017</v>
      </c>
      <c r="E46" s="150"/>
      <c r="F46" s="149">
        <f>IF('ROAR TH'!$I$6="x",C46,0)</f>
        <v>75.799999999999983</v>
      </c>
      <c r="G46" s="149">
        <f>IF('ROAR TH'!$I$6="x",D46,0)</f>
        <v>76.700000000000017</v>
      </c>
      <c r="H46" s="149">
        <f>SUM(C46:C47)/2</f>
        <v>75.799999999999983</v>
      </c>
      <c r="I46" s="149">
        <f>SUM(D46:D47)/2</f>
        <v>79.950000000000017</v>
      </c>
      <c r="J46" s="149">
        <f>IF('ROAR TH'!$I$5="x",H46,"")</f>
        <v>75.799999999999983</v>
      </c>
      <c r="K46" s="149">
        <f>IF('ROAR TH'!$I$5="x",I46,"")</f>
        <v>79.950000000000017</v>
      </c>
      <c r="L46" s="150"/>
      <c r="M46" s="149">
        <f>M45</f>
        <v>1.625</v>
      </c>
      <c r="N46" s="149">
        <f>N45</f>
        <v>112.79619407771257</v>
      </c>
      <c r="O46" s="149"/>
      <c r="P46" s="149"/>
      <c r="Q46" s="163">
        <f t="shared" ref="Q46:Q47" si="28">Q45</f>
        <v>616.19999999999868</v>
      </c>
      <c r="R46" s="178">
        <f t="shared" si="8"/>
        <v>308.09999999999934</v>
      </c>
      <c r="S46" s="178">
        <f t="shared" si="9"/>
        <v>-308.09999999999934</v>
      </c>
      <c r="T46" s="179">
        <f t="shared" si="10"/>
        <v>1.3642420526593924E-12</v>
      </c>
      <c r="U46" s="178">
        <f t="shared" si="7"/>
        <v>308.10000000000002</v>
      </c>
      <c r="V46" s="178">
        <f t="shared" si="11"/>
        <v>-308.10000000000002</v>
      </c>
    </row>
    <row r="47" spans="1:22" x14ac:dyDescent="0.2">
      <c r="A47" s="1">
        <f t="shared" ref="A47" si="29">A50+1</f>
        <v>16</v>
      </c>
      <c r="B47" s="126">
        <f t="shared" ref="B47" si="30">B44+1</f>
        <v>10</v>
      </c>
      <c r="C47" s="152">
        <f>(C44+C50)/2</f>
        <v>75.799999999999983</v>
      </c>
      <c r="D47" s="153">
        <f>D43</f>
        <v>83.2</v>
      </c>
      <c r="E47" s="173"/>
      <c r="F47" s="153">
        <f>IF('ROAR TH'!$I$6="x",C47,0)</f>
        <v>75.799999999999983</v>
      </c>
      <c r="G47" s="153">
        <f>IF('ROAR TH'!$I$6="x",D47,0)</f>
        <v>83.2</v>
      </c>
      <c r="H47" s="168"/>
      <c r="I47" s="169"/>
      <c r="J47" s="153">
        <f>J46</f>
        <v>75.799999999999983</v>
      </c>
      <c r="K47" s="153">
        <f>K46</f>
        <v>79.950000000000017</v>
      </c>
      <c r="L47" s="154"/>
      <c r="M47" s="153">
        <f>M46</f>
        <v>1.625</v>
      </c>
      <c r="N47" s="153">
        <f>N46</f>
        <v>112.79619407771257</v>
      </c>
      <c r="O47" s="153"/>
      <c r="P47" s="153"/>
      <c r="Q47" s="164">
        <f t="shared" si="28"/>
        <v>616.19999999999868</v>
      </c>
      <c r="R47" s="178">
        <f t="shared" si="8"/>
        <v>308.09999999999934</v>
      </c>
      <c r="S47" s="178">
        <f t="shared" si="9"/>
        <v>-308.09999999999934</v>
      </c>
      <c r="T47" s="179">
        <f t="shared" si="10"/>
        <v>1.3642420526593924E-12</v>
      </c>
      <c r="U47" s="178">
        <f t="shared" si="7"/>
        <v>308.10000000000002</v>
      </c>
      <c r="V47" s="178">
        <f t="shared" si="11"/>
        <v>-308.10000000000002</v>
      </c>
    </row>
    <row r="48" spans="1:22" x14ac:dyDescent="0.2">
      <c r="A48" s="107"/>
      <c r="B48" s="11"/>
      <c r="C48" s="167"/>
      <c r="D48" s="154"/>
      <c r="E48" s="154"/>
      <c r="F48" s="169"/>
      <c r="G48" s="153"/>
      <c r="H48" s="154"/>
      <c r="I48" s="154"/>
      <c r="J48" s="153">
        <f>J47</f>
        <v>75.799999999999983</v>
      </c>
      <c r="K48" s="153">
        <f>K47</f>
        <v>79.950000000000017</v>
      </c>
      <c r="L48" s="154"/>
      <c r="M48" s="153">
        <f>((H46-H43)^2+(I46-I43)^2)^0.5</f>
        <v>0.90000000000000568</v>
      </c>
      <c r="N48" s="153">
        <f>N45+M48</f>
        <v>113.69619407771258</v>
      </c>
      <c r="O48" s="153">
        <f t="shared" ref="O48" si="31">$O$14</f>
        <v>47.4</v>
      </c>
      <c r="P48" s="153">
        <v>2</v>
      </c>
      <c r="Q48" s="164">
        <f t="shared" ref="Q48" si="32">((C46-C47)^2+(D46-D47)^2)^0.5*O48*P48</f>
        <v>616.19999999999868</v>
      </c>
      <c r="R48" s="178">
        <f t="shared" si="8"/>
        <v>308.09999999999934</v>
      </c>
      <c r="S48" s="178">
        <f t="shared" si="9"/>
        <v>-308.09999999999934</v>
      </c>
      <c r="T48" s="179">
        <f t="shared" si="10"/>
        <v>1.3642420526593924E-12</v>
      </c>
      <c r="U48" s="178">
        <f t="shared" si="7"/>
        <v>308.10000000000002</v>
      </c>
      <c r="V48" s="178">
        <f t="shared" si="11"/>
        <v>-308.10000000000002</v>
      </c>
    </row>
    <row r="49" spans="1:22" x14ac:dyDescent="0.2">
      <c r="A49" s="107"/>
      <c r="B49" s="11"/>
      <c r="C49" s="148">
        <f>Panels!C$64</f>
        <v>74.899999999999991</v>
      </c>
      <c r="D49" s="149">
        <f>Panels!D$64</f>
        <v>76.700000000000017</v>
      </c>
      <c r="E49" s="150"/>
      <c r="F49" s="149">
        <f>IF('ROAR TH'!$I$6="x",C49,0)</f>
        <v>74.899999999999991</v>
      </c>
      <c r="G49" s="149">
        <f>IF('ROAR TH'!$I$6="x",D49,0)</f>
        <v>76.700000000000017</v>
      </c>
      <c r="H49" s="149">
        <f>SUM(C49:C50)/2</f>
        <v>74.899999999999991</v>
      </c>
      <c r="I49" s="149">
        <f>SUM(D49:D50)/2</f>
        <v>79.950000000000017</v>
      </c>
      <c r="J49" s="149">
        <f>IF('ROAR TH'!$I$5="x",H49,"")</f>
        <v>74.899999999999991</v>
      </c>
      <c r="K49" s="149">
        <f>IF('ROAR TH'!$I$5="x",I49,"")</f>
        <v>79.950000000000017</v>
      </c>
      <c r="L49" s="150"/>
      <c r="M49" s="149">
        <f>M48</f>
        <v>0.90000000000000568</v>
      </c>
      <c r="N49" s="149">
        <f>N48</f>
        <v>113.69619407771258</v>
      </c>
      <c r="O49" s="149"/>
      <c r="P49" s="149"/>
      <c r="Q49" s="163">
        <f t="shared" ref="Q49:Q50" si="33">Q48</f>
        <v>616.19999999999868</v>
      </c>
      <c r="R49" s="178">
        <f t="shared" si="8"/>
        <v>308.09999999999934</v>
      </c>
      <c r="S49" s="178">
        <f t="shared" si="9"/>
        <v>-308.09999999999934</v>
      </c>
      <c r="T49" s="179">
        <f t="shared" si="10"/>
        <v>1.3642420526593924E-12</v>
      </c>
      <c r="U49" s="178">
        <f t="shared" si="7"/>
        <v>308.10000000000002</v>
      </c>
      <c r="V49" s="178">
        <f t="shared" si="11"/>
        <v>-308.10000000000002</v>
      </c>
    </row>
    <row r="50" spans="1:22" x14ac:dyDescent="0.2">
      <c r="A50" s="1">
        <f t="shared" ref="A50" si="34">A53+1</f>
        <v>15</v>
      </c>
      <c r="B50" s="126">
        <f t="shared" ref="B50" si="35">B47+1</f>
        <v>11</v>
      </c>
      <c r="C50" s="152">
        <f>C49</f>
        <v>74.899999999999991</v>
      </c>
      <c r="D50" s="153">
        <f>D43</f>
        <v>83.2</v>
      </c>
      <c r="E50" s="173"/>
      <c r="F50" s="153">
        <f>IF('ROAR TH'!$I$6="x",C50,0)</f>
        <v>74.899999999999991</v>
      </c>
      <c r="G50" s="153">
        <f>IF('ROAR TH'!$I$6="x",D50,0)</f>
        <v>83.2</v>
      </c>
      <c r="H50" s="168"/>
      <c r="I50" s="169"/>
      <c r="J50" s="153">
        <f>J49</f>
        <v>74.899999999999991</v>
      </c>
      <c r="K50" s="153">
        <f>K49</f>
        <v>79.950000000000017</v>
      </c>
      <c r="L50" s="154"/>
      <c r="M50" s="153">
        <f>M49</f>
        <v>0.90000000000000568</v>
      </c>
      <c r="N50" s="153">
        <f>N49</f>
        <v>113.69619407771258</v>
      </c>
      <c r="O50" s="153"/>
      <c r="P50" s="153"/>
      <c r="Q50" s="164">
        <f t="shared" si="33"/>
        <v>616.19999999999868</v>
      </c>
      <c r="R50" s="178">
        <f t="shared" si="8"/>
        <v>308.09999999999934</v>
      </c>
      <c r="S50" s="178">
        <f t="shared" si="9"/>
        <v>-308.09999999999934</v>
      </c>
      <c r="T50" s="179">
        <f t="shared" si="10"/>
        <v>1.3642420526593924E-12</v>
      </c>
      <c r="U50" s="178">
        <f t="shared" si="7"/>
        <v>308.10000000000002</v>
      </c>
      <c r="V50" s="178">
        <f t="shared" si="11"/>
        <v>-308.10000000000002</v>
      </c>
    </row>
    <row r="51" spans="1:22" x14ac:dyDescent="0.2">
      <c r="A51" s="107"/>
      <c r="B51" s="11"/>
      <c r="C51" s="165"/>
      <c r="D51" s="166"/>
      <c r="E51" s="166"/>
      <c r="F51" s="158"/>
      <c r="G51" s="159"/>
      <c r="H51" s="166"/>
      <c r="I51" s="166"/>
      <c r="J51" s="159">
        <f>J50</f>
        <v>74.899999999999991</v>
      </c>
      <c r="K51" s="159">
        <f>K50</f>
        <v>79.950000000000017</v>
      </c>
      <c r="L51" s="166"/>
      <c r="M51" s="159">
        <f>((H49-H46)^2+(I49-I46)^2)^0.5</f>
        <v>0.89999999999999147</v>
      </c>
      <c r="N51" s="159">
        <f>N48+M51</f>
        <v>114.59619407771257</v>
      </c>
      <c r="O51" s="159">
        <f t="shared" ref="O51" si="36">$O$14</f>
        <v>47.4</v>
      </c>
      <c r="P51" s="159">
        <v>2</v>
      </c>
      <c r="Q51" s="161">
        <f t="shared" ref="Q51" si="37">((C49-C50)^2+(D49-D50)^2)^0.5*O51*P51</f>
        <v>616.19999999999868</v>
      </c>
      <c r="R51" s="178">
        <f t="shared" si="8"/>
        <v>308.09999999999934</v>
      </c>
      <c r="S51" s="178">
        <f t="shared" si="9"/>
        <v>-308.09999999999934</v>
      </c>
      <c r="T51" s="179">
        <f t="shared" si="10"/>
        <v>1.3642420526593924E-12</v>
      </c>
      <c r="U51" s="178">
        <f t="shared" si="7"/>
        <v>308.10000000000002</v>
      </c>
      <c r="V51" s="178">
        <f t="shared" si="11"/>
        <v>-308.10000000000002</v>
      </c>
    </row>
    <row r="52" spans="1:22" x14ac:dyDescent="0.2">
      <c r="A52" s="107"/>
      <c r="B52" s="11"/>
      <c r="C52" s="148">
        <f>C55</f>
        <v>74.899999999999991</v>
      </c>
      <c r="D52" s="149">
        <f>D55</f>
        <v>76.700000000000017</v>
      </c>
      <c r="E52" s="150"/>
      <c r="F52" s="149">
        <f>IF('ROAR TH'!$I$6="x",C52,0)</f>
        <v>74.899999999999991</v>
      </c>
      <c r="G52" s="149">
        <f>IF('ROAR TH'!$I$6="x",D52,0)</f>
        <v>76.700000000000017</v>
      </c>
      <c r="H52" s="149">
        <f>SUM(C52:C53)/2</f>
        <v>73.274999999999991</v>
      </c>
      <c r="I52" s="149">
        <f>SUM(D52:D53)/2</f>
        <v>79.950000000000017</v>
      </c>
      <c r="J52" s="149">
        <f>IF('ROAR TH'!$I$5="x",H52,"")</f>
        <v>73.274999999999991</v>
      </c>
      <c r="K52" s="149">
        <f>IF('ROAR TH'!$I$5="x",I52,"")</f>
        <v>79.950000000000017</v>
      </c>
      <c r="L52" s="150"/>
      <c r="M52" s="149">
        <f>M51</f>
        <v>0.89999999999999147</v>
      </c>
      <c r="N52" s="149">
        <f>N51</f>
        <v>114.59619407771257</v>
      </c>
      <c r="O52" s="149"/>
      <c r="P52" s="149"/>
      <c r="Q52" s="163">
        <f t="shared" ref="Q52:Q53" si="38">Q51</f>
        <v>616.19999999999868</v>
      </c>
      <c r="R52" s="178">
        <f t="shared" si="8"/>
        <v>308.09999999999934</v>
      </c>
      <c r="S52" s="178">
        <f t="shared" si="9"/>
        <v>-308.09999999999934</v>
      </c>
      <c r="T52" s="179">
        <f t="shared" si="10"/>
        <v>1.3642420526593924E-12</v>
      </c>
      <c r="U52" s="178">
        <f t="shared" si="7"/>
        <v>308.10000000000002</v>
      </c>
      <c r="V52" s="178">
        <f t="shared" si="11"/>
        <v>-308.10000000000002</v>
      </c>
    </row>
    <row r="53" spans="1:22" x14ac:dyDescent="0.2">
      <c r="A53" s="1">
        <f t="shared" ref="A53" si="39">A56+1</f>
        <v>14</v>
      </c>
      <c r="B53" s="126">
        <f t="shared" ref="B53" si="40">B50+1</f>
        <v>12</v>
      </c>
      <c r="C53" s="152">
        <f>(C52+C56)/2</f>
        <v>71.649999999999991</v>
      </c>
      <c r="D53" s="153">
        <f>D50</f>
        <v>83.2</v>
      </c>
      <c r="E53" s="154"/>
      <c r="F53" s="153">
        <f>IF('ROAR TH'!$I$6="x",C53,0)</f>
        <v>71.649999999999991</v>
      </c>
      <c r="G53" s="153">
        <f>IF('ROAR TH'!$I$6="x",D53,0)</f>
        <v>83.2</v>
      </c>
      <c r="H53" s="168"/>
      <c r="I53" s="169"/>
      <c r="J53" s="153">
        <f>J52</f>
        <v>73.274999999999991</v>
      </c>
      <c r="K53" s="153">
        <f>K52</f>
        <v>79.950000000000017</v>
      </c>
      <c r="L53" s="154"/>
      <c r="M53" s="153">
        <f>M52</f>
        <v>0.89999999999999147</v>
      </c>
      <c r="N53" s="153">
        <f>N52</f>
        <v>114.59619407771257</v>
      </c>
      <c r="O53" s="153"/>
      <c r="P53" s="153"/>
      <c r="Q53" s="164">
        <f t="shared" si="38"/>
        <v>616.19999999999868</v>
      </c>
      <c r="R53" s="178">
        <f t="shared" si="8"/>
        <v>308.09999999999934</v>
      </c>
      <c r="S53" s="178">
        <f t="shared" si="9"/>
        <v>-308.09999999999934</v>
      </c>
      <c r="T53" s="179">
        <f t="shared" si="10"/>
        <v>1.3642420526593924E-12</v>
      </c>
      <c r="U53" s="178">
        <f t="shared" si="7"/>
        <v>308.10000000000002</v>
      </c>
      <c r="V53" s="178">
        <f t="shared" si="11"/>
        <v>-308.10000000000002</v>
      </c>
    </row>
    <row r="54" spans="1:22" x14ac:dyDescent="0.2">
      <c r="A54" s="107"/>
      <c r="B54" s="11"/>
      <c r="C54" s="165"/>
      <c r="D54" s="166"/>
      <c r="E54" s="166"/>
      <c r="F54" s="158"/>
      <c r="G54" s="159"/>
      <c r="H54" s="166"/>
      <c r="I54" s="166"/>
      <c r="J54" s="159">
        <f>J53</f>
        <v>73.274999999999991</v>
      </c>
      <c r="K54" s="159">
        <f>K53</f>
        <v>79.950000000000017</v>
      </c>
      <c r="L54" s="166"/>
      <c r="M54" s="159">
        <f>((H52-H49)^2+(I52-I49)^2)^0.5</f>
        <v>1.625</v>
      </c>
      <c r="N54" s="159">
        <f>N51+M54</f>
        <v>116.22119407771257</v>
      </c>
      <c r="O54" s="159">
        <f t="shared" ref="O54" si="41">$O$14</f>
        <v>47.4</v>
      </c>
      <c r="P54" s="159">
        <v>2</v>
      </c>
      <c r="Q54" s="161">
        <f t="shared" ref="Q54" si="42">((C52-C53)^2+(D52-D53)^2)^0.5*O54*P54</f>
        <v>688.93254386768399</v>
      </c>
      <c r="R54" s="178">
        <f t="shared" si="8"/>
        <v>344.46627193384199</v>
      </c>
      <c r="S54" s="178">
        <f t="shared" si="9"/>
        <v>-344.46627193384199</v>
      </c>
      <c r="T54" s="179">
        <f t="shared" si="10"/>
        <v>-72.732543867683944</v>
      </c>
      <c r="U54" s="178">
        <f t="shared" si="7"/>
        <v>308.10000000000002</v>
      </c>
      <c r="V54" s="178">
        <f t="shared" si="11"/>
        <v>-308.10000000000002</v>
      </c>
    </row>
    <row r="55" spans="1:22" x14ac:dyDescent="0.2">
      <c r="A55" s="107"/>
      <c r="B55" s="11"/>
      <c r="C55" s="148">
        <f>C58</f>
        <v>74.899999999999991</v>
      </c>
      <c r="D55" s="149">
        <f>D58</f>
        <v>76.700000000000017</v>
      </c>
      <c r="E55" s="150"/>
      <c r="F55" s="149">
        <f>IF('ROAR TH'!$I$6="x",C55,0)</f>
        <v>74.899999999999991</v>
      </c>
      <c r="G55" s="149">
        <f>IF('ROAR TH'!$I$6="x",D55,0)</f>
        <v>76.700000000000017</v>
      </c>
      <c r="H55" s="149">
        <f>SUM(C55:C56)/2</f>
        <v>71.649999999999991</v>
      </c>
      <c r="I55" s="149">
        <f>SUM(D55:D56)/2</f>
        <v>78.325000000000017</v>
      </c>
      <c r="J55" s="149">
        <f>IF('ROAR TH'!$I$5="x",H55,"")</f>
        <v>71.649999999999991</v>
      </c>
      <c r="K55" s="149">
        <f>IF('ROAR TH'!$I$5="x",I55,"")</f>
        <v>78.325000000000017</v>
      </c>
      <c r="L55" s="150"/>
      <c r="M55" s="149">
        <f>M54</f>
        <v>1.625</v>
      </c>
      <c r="N55" s="149">
        <f>N54</f>
        <v>116.22119407771257</v>
      </c>
      <c r="O55" s="149"/>
      <c r="P55" s="149"/>
      <c r="Q55" s="163">
        <f t="shared" ref="Q55:Q56" si="43">Q54</f>
        <v>688.93254386768399</v>
      </c>
      <c r="R55" s="178">
        <f t="shared" si="8"/>
        <v>344.46627193384199</v>
      </c>
      <c r="S55" s="178">
        <f t="shared" si="9"/>
        <v>-344.46627193384199</v>
      </c>
      <c r="T55" s="179">
        <f t="shared" si="10"/>
        <v>-72.732543867683944</v>
      </c>
      <c r="U55" s="178">
        <f t="shared" si="7"/>
        <v>308.10000000000002</v>
      </c>
      <c r="V55" s="178">
        <f t="shared" si="11"/>
        <v>-308.10000000000002</v>
      </c>
    </row>
    <row r="56" spans="1:22" x14ac:dyDescent="0.2">
      <c r="A56" s="1">
        <f t="shared" ref="A56" si="44">A59+1</f>
        <v>13</v>
      </c>
      <c r="B56" s="126">
        <f t="shared" ref="B56" si="45">B53+1</f>
        <v>13</v>
      </c>
      <c r="C56" s="152">
        <f>C59</f>
        <v>68.399999999999991</v>
      </c>
      <c r="D56" s="153">
        <f>(D50+D59)/2</f>
        <v>79.950000000000017</v>
      </c>
      <c r="E56" s="154"/>
      <c r="F56" s="153">
        <f>IF('ROAR TH'!$I$6="x",C56,0)</f>
        <v>68.399999999999991</v>
      </c>
      <c r="G56" s="153">
        <f>IF('ROAR TH'!$I$6="x",D56,0)</f>
        <v>79.950000000000017</v>
      </c>
      <c r="H56" s="168"/>
      <c r="I56" s="169"/>
      <c r="J56" s="153">
        <f>J55</f>
        <v>71.649999999999991</v>
      </c>
      <c r="K56" s="153">
        <f>K55</f>
        <v>78.325000000000017</v>
      </c>
      <c r="L56" s="154"/>
      <c r="M56" s="153">
        <f>M55</f>
        <v>1.625</v>
      </c>
      <c r="N56" s="153">
        <f>N55</f>
        <v>116.22119407771257</v>
      </c>
      <c r="O56" s="153"/>
      <c r="P56" s="153"/>
      <c r="Q56" s="164">
        <f t="shared" si="43"/>
        <v>688.93254386768399</v>
      </c>
      <c r="R56" s="178">
        <f t="shared" si="8"/>
        <v>344.46627193384199</v>
      </c>
      <c r="S56" s="178">
        <f t="shared" si="9"/>
        <v>-344.46627193384199</v>
      </c>
      <c r="T56" s="179">
        <f t="shared" si="10"/>
        <v>-72.732543867683944</v>
      </c>
      <c r="U56" s="178">
        <f t="shared" si="7"/>
        <v>308.10000000000002</v>
      </c>
      <c r="V56" s="178">
        <f t="shared" si="11"/>
        <v>-308.10000000000002</v>
      </c>
    </row>
    <row r="57" spans="1:22" x14ac:dyDescent="0.2">
      <c r="A57" s="107"/>
      <c r="B57" s="11"/>
      <c r="C57" s="165"/>
      <c r="D57" s="166"/>
      <c r="E57" s="166"/>
      <c r="F57" s="158"/>
      <c r="G57" s="159"/>
      <c r="H57" s="166"/>
      <c r="I57" s="166"/>
      <c r="J57" s="159">
        <f>J56</f>
        <v>71.649999999999991</v>
      </c>
      <c r="K57" s="159">
        <f>K56</f>
        <v>78.325000000000017</v>
      </c>
      <c r="L57" s="166"/>
      <c r="M57" s="159">
        <f>((H55-H52)^2+(I55-I52)^2)^0.5</f>
        <v>2.2980970388562794</v>
      </c>
      <c r="N57" s="159">
        <f>N54+M57</f>
        <v>118.51929111656885</v>
      </c>
      <c r="O57" s="159">
        <f t="shared" ref="O57" si="46">$O$14</f>
        <v>47.4</v>
      </c>
      <c r="P57" s="159">
        <v>2</v>
      </c>
      <c r="Q57" s="161">
        <f t="shared" ref="Q57" si="47">((C55-C56)^2+(D55-D56)^2)^0.5*O57*P57</f>
        <v>688.93254386768524</v>
      </c>
      <c r="R57" s="178">
        <f t="shared" si="8"/>
        <v>344.46627193384262</v>
      </c>
      <c r="S57" s="178">
        <f t="shared" si="9"/>
        <v>-344.46627193384262</v>
      </c>
      <c r="T57" s="179">
        <f t="shared" si="10"/>
        <v>-72.732543867685195</v>
      </c>
      <c r="U57" s="178">
        <f t="shared" si="7"/>
        <v>308.10000000000002</v>
      </c>
      <c r="V57" s="178">
        <f t="shared" si="11"/>
        <v>-308.10000000000002</v>
      </c>
    </row>
    <row r="58" spans="1:22" x14ac:dyDescent="0.2">
      <c r="A58" s="107"/>
      <c r="B58" s="11"/>
      <c r="C58" s="148">
        <f>C49</f>
        <v>74.899999999999991</v>
      </c>
      <c r="D58" s="149">
        <f>D49</f>
        <v>76.700000000000017</v>
      </c>
      <c r="E58" s="150"/>
      <c r="F58" s="149">
        <f>IF('ROAR TH'!$I$6="x",C58,0)</f>
        <v>74.899999999999991</v>
      </c>
      <c r="G58" s="149">
        <f>IF('ROAR TH'!$I$6="x",D58,0)</f>
        <v>76.700000000000017</v>
      </c>
      <c r="H58" s="149">
        <f>SUM(C58:C59)/2</f>
        <v>71.649999999999991</v>
      </c>
      <c r="I58" s="149">
        <f>SUM(D58:D59)/2</f>
        <v>76.700000000000017</v>
      </c>
      <c r="J58" s="149">
        <f>IF('ROAR TH'!$I$5="x",H58,"")</f>
        <v>71.649999999999991</v>
      </c>
      <c r="K58" s="149">
        <f>IF('ROAR TH'!$I$5="x",I58,"")</f>
        <v>76.700000000000017</v>
      </c>
      <c r="L58" s="150"/>
      <c r="M58" s="149">
        <f>M57</f>
        <v>2.2980970388562794</v>
      </c>
      <c r="N58" s="149">
        <f>N57</f>
        <v>118.51929111656885</v>
      </c>
      <c r="O58" s="149"/>
      <c r="P58" s="149"/>
      <c r="Q58" s="163">
        <f t="shared" ref="Q58:Q59" si="48">Q57</f>
        <v>688.93254386768524</v>
      </c>
      <c r="R58" s="178">
        <f t="shared" si="8"/>
        <v>344.46627193384262</v>
      </c>
      <c r="S58" s="178">
        <f t="shared" si="9"/>
        <v>-344.46627193384262</v>
      </c>
      <c r="T58" s="179">
        <f t="shared" si="10"/>
        <v>-72.732543867685195</v>
      </c>
      <c r="U58" s="178">
        <f t="shared" si="7"/>
        <v>308.10000000000002</v>
      </c>
      <c r="V58" s="178">
        <f t="shared" si="11"/>
        <v>-308.10000000000002</v>
      </c>
    </row>
    <row r="59" spans="1:22" x14ac:dyDescent="0.2">
      <c r="A59" s="1">
        <f t="shared" ref="A59" si="49">A62+1</f>
        <v>12</v>
      </c>
      <c r="B59" s="126">
        <f t="shared" ref="B59" si="50">B56+1</f>
        <v>14</v>
      </c>
      <c r="C59" s="152">
        <f>C64</f>
        <v>68.399999999999991</v>
      </c>
      <c r="D59" s="153">
        <f>D58</f>
        <v>76.700000000000017</v>
      </c>
      <c r="E59" s="154"/>
      <c r="F59" s="153">
        <f>IF('ROAR TH'!$I$6="x",C59,0)</f>
        <v>68.399999999999991</v>
      </c>
      <c r="G59" s="153">
        <f>IF('ROAR TH'!$I$6="x",D59,0)</f>
        <v>76.700000000000017</v>
      </c>
      <c r="H59" s="168"/>
      <c r="I59" s="169"/>
      <c r="J59" s="153">
        <f>J58</f>
        <v>71.649999999999991</v>
      </c>
      <c r="K59" s="153">
        <f>K58</f>
        <v>76.700000000000017</v>
      </c>
      <c r="L59" s="154"/>
      <c r="M59" s="153">
        <f>M58</f>
        <v>2.2980970388562794</v>
      </c>
      <c r="N59" s="153">
        <f>N58</f>
        <v>118.51929111656885</v>
      </c>
      <c r="O59" s="153"/>
      <c r="P59" s="153"/>
      <c r="Q59" s="164">
        <f t="shared" si="48"/>
        <v>688.93254386768524</v>
      </c>
      <c r="R59" s="178">
        <f t="shared" si="8"/>
        <v>344.46627193384262</v>
      </c>
      <c r="S59" s="178">
        <f t="shared" si="9"/>
        <v>-344.46627193384262</v>
      </c>
      <c r="T59" s="179">
        <f t="shared" si="10"/>
        <v>-72.732543867685195</v>
      </c>
      <c r="U59" s="178">
        <f t="shared" si="7"/>
        <v>308.10000000000002</v>
      </c>
      <c r="V59" s="178">
        <f t="shared" si="11"/>
        <v>-308.10000000000002</v>
      </c>
    </row>
    <row r="60" spans="1:22" x14ac:dyDescent="0.2">
      <c r="A60" s="107"/>
      <c r="B60" s="11"/>
      <c r="C60" s="165"/>
      <c r="D60" s="166"/>
      <c r="E60" s="166"/>
      <c r="F60" s="158"/>
      <c r="G60" s="159"/>
      <c r="H60" s="166"/>
      <c r="I60" s="166"/>
      <c r="J60" s="159">
        <f>J59</f>
        <v>71.649999999999991</v>
      </c>
      <c r="K60" s="159">
        <f>K59</f>
        <v>76.700000000000017</v>
      </c>
      <c r="L60" s="166"/>
      <c r="M60" s="159">
        <f>((H58-H55)^2+(I58-I55)^2)^0.5</f>
        <v>1.625</v>
      </c>
      <c r="N60" s="159">
        <f>N57+M60</f>
        <v>120.14429111656885</v>
      </c>
      <c r="O60" s="159">
        <f t="shared" ref="O60" si="51">$O$14</f>
        <v>47.4</v>
      </c>
      <c r="P60" s="159">
        <v>2</v>
      </c>
      <c r="Q60" s="161">
        <f t="shared" ref="Q60" si="52">((C58-C59)^2+(D58-D59)^2)^0.5*O60*P60</f>
        <v>616.19999999999993</v>
      </c>
      <c r="R60" s="178">
        <f t="shared" si="8"/>
        <v>308.09999999999997</v>
      </c>
      <c r="S60" s="178">
        <f t="shared" si="9"/>
        <v>-308.09999999999997</v>
      </c>
      <c r="T60" s="179">
        <f t="shared" si="10"/>
        <v>1.1368683772161603E-13</v>
      </c>
      <c r="U60" s="178">
        <f t="shared" si="7"/>
        <v>308.10000000000002</v>
      </c>
      <c r="V60" s="178">
        <f t="shared" si="11"/>
        <v>-308.10000000000002</v>
      </c>
    </row>
    <row r="61" spans="1:22" x14ac:dyDescent="0.2">
      <c r="A61" s="107"/>
      <c r="B61" s="11"/>
      <c r="C61" s="148">
        <f>C64</f>
        <v>68.399999999999991</v>
      </c>
      <c r="D61" s="149">
        <f>(D58+D64)/2</f>
        <v>50.10160691443042</v>
      </c>
      <c r="E61" s="150"/>
      <c r="F61" s="149">
        <f>IF('ROAR TH'!$I$6="x",C61,0)</f>
        <v>68.399999999999991</v>
      </c>
      <c r="G61" s="149">
        <f>IF('ROAR TH'!$I$6="x",D61,0)</f>
        <v>50.10160691443042</v>
      </c>
      <c r="H61" s="149">
        <f>SUM(C61:C62)/2</f>
        <v>71.649999999999991</v>
      </c>
      <c r="I61" s="149">
        <f>SUM(D61:D62)/2</f>
        <v>50.10160691443042</v>
      </c>
      <c r="J61" s="149">
        <f>IF('ROAR TH'!$I$5="x",H61,"")</f>
        <v>71.649999999999991</v>
      </c>
      <c r="K61" s="149">
        <f>IF('ROAR TH'!$I$5="x",I61,"")</f>
        <v>50.10160691443042</v>
      </c>
      <c r="L61" s="150"/>
      <c r="M61" s="149">
        <f>M60</f>
        <v>1.625</v>
      </c>
      <c r="N61" s="149">
        <f>N60</f>
        <v>120.14429111656885</v>
      </c>
      <c r="O61" s="149"/>
      <c r="P61" s="149"/>
      <c r="Q61" s="163">
        <f t="shared" ref="Q61:Q62" si="53">Q60</f>
        <v>616.19999999999993</v>
      </c>
      <c r="R61" s="178">
        <f t="shared" si="8"/>
        <v>308.09999999999997</v>
      </c>
      <c r="S61" s="178">
        <f t="shared" si="9"/>
        <v>-308.09999999999997</v>
      </c>
      <c r="T61" s="179">
        <f t="shared" si="10"/>
        <v>1.1368683772161603E-13</v>
      </c>
      <c r="U61" s="178">
        <f t="shared" si="7"/>
        <v>308.10000000000002</v>
      </c>
      <c r="V61" s="178">
        <f t="shared" si="11"/>
        <v>-308.10000000000002</v>
      </c>
    </row>
    <row r="62" spans="1:22" x14ac:dyDescent="0.2">
      <c r="A62" s="1">
        <f t="shared" ref="A62" si="54">A65+1</f>
        <v>11</v>
      </c>
      <c r="B62" s="126">
        <f t="shared" ref="B62" si="55">B59+1</f>
        <v>15</v>
      </c>
      <c r="C62" s="152">
        <f>C58</f>
        <v>74.899999999999991</v>
      </c>
      <c r="D62" s="153">
        <f>D61</f>
        <v>50.10160691443042</v>
      </c>
      <c r="E62" s="154"/>
      <c r="F62" s="153">
        <f>IF('ROAR TH'!$I$6="x",C62,0)</f>
        <v>74.899999999999991</v>
      </c>
      <c r="G62" s="153">
        <f>IF('ROAR TH'!$I$6="x",D62,0)</f>
        <v>50.10160691443042</v>
      </c>
      <c r="H62" s="168"/>
      <c r="I62" s="169"/>
      <c r="J62" s="153">
        <f>J61</f>
        <v>71.649999999999991</v>
      </c>
      <c r="K62" s="153">
        <f>K61</f>
        <v>50.10160691443042</v>
      </c>
      <c r="L62" s="154"/>
      <c r="M62" s="153">
        <f>M61</f>
        <v>1.625</v>
      </c>
      <c r="N62" s="153">
        <f>N61</f>
        <v>120.14429111656885</v>
      </c>
      <c r="O62" s="153"/>
      <c r="P62" s="153"/>
      <c r="Q62" s="164">
        <f t="shared" si="53"/>
        <v>616.19999999999993</v>
      </c>
      <c r="R62" s="178">
        <f t="shared" si="8"/>
        <v>308.09999999999997</v>
      </c>
      <c r="S62" s="178">
        <f t="shared" si="9"/>
        <v>-308.09999999999997</v>
      </c>
      <c r="T62" s="179">
        <f t="shared" si="10"/>
        <v>1.1368683772161603E-13</v>
      </c>
      <c r="U62" s="178">
        <f t="shared" si="7"/>
        <v>308.10000000000002</v>
      </c>
      <c r="V62" s="178">
        <f t="shared" si="11"/>
        <v>-308.10000000000002</v>
      </c>
    </row>
    <row r="63" spans="1:22" x14ac:dyDescent="0.2">
      <c r="A63" s="107"/>
      <c r="B63" s="11"/>
      <c r="C63" s="167"/>
      <c r="D63" s="154"/>
      <c r="E63" s="154"/>
      <c r="F63" s="169"/>
      <c r="G63" s="153"/>
      <c r="H63" s="154"/>
      <c r="I63" s="154"/>
      <c r="J63" s="153">
        <f>J62</f>
        <v>71.649999999999991</v>
      </c>
      <c r="K63" s="153">
        <f>K62</f>
        <v>50.10160691443042</v>
      </c>
      <c r="L63" s="154"/>
      <c r="M63" s="153">
        <f>((H61-H58)^2+(I61-I58)^2)^0.5</f>
        <v>26.598393085569597</v>
      </c>
      <c r="N63" s="153">
        <f>N60+M63</f>
        <v>146.74268420213843</v>
      </c>
      <c r="O63" s="153">
        <f t="shared" ref="O63" si="56">$O$14</f>
        <v>47.4</v>
      </c>
      <c r="P63" s="153">
        <v>2</v>
      </c>
      <c r="Q63" s="164">
        <f t="shared" ref="Q63" si="57">((C61-C62)^2+(D61-D62)^2)^0.5*O63*P63</f>
        <v>616.19999999999993</v>
      </c>
      <c r="R63" s="178">
        <f t="shared" si="8"/>
        <v>308.09999999999997</v>
      </c>
      <c r="S63" s="178">
        <f t="shared" si="9"/>
        <v>-308.09999999999997</v>
      </c>
      <c r="T63" s="179">
        <f t="shared" si="10"/>
        <v>1.1368683772161603E-13</v>
      </c>
      <c r="U63" s="178">
        <f t="shared" si="7"/>
        <v>308.10000000000002</v>
      </c>
      <c r="V63" s="178">
        <f t="shared" si="11"/>
        <v>-308.10000000000002</v>
      </c>
    </row>
    <row r="64" spans="1:22" x14ac:dyDescent="0.2">
      <c r="A64" s="107"/>
      <c r="B64" s="11"/>
      <c r="C64" s="148">
        <f>C73</f>
        <v>68.399999999999991</v>
      </c>
      <c r="D64" s="149">
        <f>D73</f>
        <v>23.503213828860829</v>
      </c>
      <c r="E64" s="150"/>
      <c r="F64" s="149">
        <f>IF('ROAR TH'!$I$6="x",C64,0)</f>
        <v>68.399999999999991</v>
      </c>
      <c r="G64" s="149">
        <f>IF('ROAR TH'!$I$6="x",D64,0)</f>
        <v>23.503213828860829</v>
      </c>
      <c r="H64" s="149">
        <f>SUM(C64:C65)/2</f>
        <v>71.649999999999991</v>
      </c>
      <c r="I64" s="149">
        <f>SUM(D64:D65)/2</f>
        <v>23.503213828860829</v>
      </c>
      <c r="J64" s="149">
        <f>IF('ROAR TH'!$I$5="x",H64,"")</f>
        <v>71.649999999999991</v>
      </c>
      <c r="K64" s="149">
        <f>IF('ROAR TH'!$I$5="x",I64,"")</f>
        <v>23.503213828860829</v>
      </c>
      <c r="L64" s="150"/>
      <c r="M64" s="149">
        <f>M63</f>
        <v>26.598393085569597</v>
      </c>
      <c r="N64" s="149">
        <f>N63</f>
        <v>146.74268420213843</v>
      </c>
      <c r="O64" s="149"/>
      <c r="P64" s="149"/>
      <c r="Q64" s="163">
        <f t="shared" ref="Q64:Q65" si="58">Q63</f>
        <v>616.19999999999993</v>
      </c>
      <c r="R64" s="178">
        <f t="shared" si="8"/>
        <v>308.09999999999997</v>
      </c>
      <c r="S64" s="178">
        <f t="shared" si="9"/>
        <v>-308.09999999999997</v>
      </c>
      <c r="T64" s="179">
        <f t="shared" si="10"/>
        <v>1.1368683772161603E-13</v>
      </c>
      <c r="U64" s="178">
        <f t="shared" si="7"/>
        <v>308.10000000000002</v>
      </c>
      <c r="V64" s="178">
        <f t="shared" si="11"/>
        <v>-308.10000000000002</v>
      </c>
    </row>
    <row r="65" spans="1:22" x14ac:dyDescent="0.2">
      <c r="A65" s="1">
        <f t="shared" ref="A65" si="59">A68+1</f>
        <v>10</v>
      </c>
      <c r="B65" s="126">
        <f t="shared" ref="B65" si="60">B62+1</f>
        <v>16</v>
      </c>
      <c r="C65" s="152">
        <f>C50</f>
        <v>74.899999999999991</v>
      </c>
      <c r="D65" s="153">
        <f>D64</f>
        <v>23.503213828860829</v>
      </c>
      <c r="E65" s="173" t="s">
        <v>74</v>
      </c>
      <c r="F65" s="153">
        <f>IF('ROAR TH'!$I$6="x",C65,0)</f>
        <v>74.899999999999991</v>
      </c>
      <c r="G65" s="153">
        <f>IF('ROAR TH'!$I$6="x",D65,0)</f>
        <v>23.503213828860829</v>
      </c>
      <c r="H65" s="168"/>
      <c r="I65" s="169"/>
      <c r="J65" s="153">
        <f>J64</f>
        <v>71.649999999999991</v>
      </c>
      <c r="K65" s="153">
        <f>K64</f>
        <v>23.503213828860829</v>
      </c>
      <c r="L65" s="154"/>
      <c r="M65" s="153">
        <f>M64</f>
        <v>26.598393085569597</v>
      </c>
      <c r="N65" s="153">
        <f>N64</f>
        <v>146.74268420213843</v>
      </c>
      <c r="O65" s="153"/>
      <c r="P65" s="153"/>
      <c r="Q65" s="164">
        <f t="shared" si="58"/>
        <v>616.19999999999993</v>
      </c>
      <c r="R65" s="178">
        <f t="shared" si="8"/>
        <v>308.09999999999997</v>
      </c>
      <c r="S65" s="178">
        <f t="shared" si="9"/>
        <v>-308.09999999999997</v>
      </c>
      <c r="T65" s="179">
        <f t="shared" si="10"/>
        <v>1.1368683772161603E-13</v>
      </c>
      <c r="U65" s="178">
        <f t="shared" si="7"/>
        <v>308.10000000000002</v>
      </c>
      <c r="V65" s="178">
        <f t="shared" si="11"/>
        <v>-308.10000000000002</v>
      </c>
    </row>
    <row r="66" spans="1:22" x14ac:dyDescent="0.2">
      <c r="A66" s="107"/>
      <c r="B66" s="11"/>
      <c r="C66" s="165"/>
      <c r="D66" s="166"/>
      <c r="E66" s="166"/>
      <c r="F66" s="158"/>
      <c r="G66" s="159"/>
      <c r="H66" s="166"/>
      <c r="I66" s="166"/>
      <c r="J66" s="159">
        <f>J65</f>
        <v>71.649999999999991</v>
      </c>
      <c r="K66" s="159">
        <f>K65</f>
        <v>23.503213828860829</v>
      </c>
      <c r="L66" s="166"/>
      <c r="M66" s="159">
        <f>((H64-H61)^2+(I64-I61)^2)^0.5</f>
        <v>26.59839308556959</v>
      </c>
      <c r="N66" s="159">
        <f>N63+M66</f>
        <v>173.34107728770803</v>
      </c>
      <c r="O66" s="159">
        <f t="shared" ref="O66" si="61">$O$14</f>
        <v>47.4</v>
      </c>
      <c r="P66" s="159">
        <v>2</v>
      </c>
      <c r="Q66" s="161">
        <f t="shared" ref="Q66" si="62">((C64-C65)^2+(D64-D65)^2)^0.5*O66*P66</f>
        <v>616.19999999999993</v>
      </c>
      <c r="R66" s="178">
        <f t="shared" si="8"/>
        <v>308.09999999999997</v>
      </c>
      <c r="S66" s="178">
        <f t="shared" si="9"/>
        <v>-308.09999999999997</v>
      </c>
      <c r="T66" s="179">
        <f t="shared" si="10"/>
        <v>1.1368683772161603E-13</v>
      </c>
      <c r="U66" s="178">
        <f t="shared" si="7"/>
        <v>308.10000000000002</v>
      </c>
      <c r="V66" s="178">
        <f t="shared" si="11"/>
        <v>-308.10000000000002</v>
      </c>
    </row>
    <row r="67" spans="1:22" x14ac:dyDescent="0.2">
      <c r="A67" s="107"/>
      <c r="B67" s="11"/>
      <c r="C67" s="152">
        <f>C70</f>
        <v>68.399999999999991</v>
      </c>
      <c r="D67" s="153">
        <f>D70</f>
        <v>23.503213828860829</v>
      </c>
      <c r="E67" s="154"/>
      <c r="F67" s="153">
        <f>IF('ROAR TH'!$I$6="x",C67,0)</f>
        <v>68.399999999999991</v>
      </c>
      <c r="G67" s="153">
        <f>IF('ROAR TH'!$I$6="x",D67,0)</f>
        <v>23.503213828860829</v>
      </c>
      <c r="H67" s="153">
        <f>SUM(C67:C68)/2</f>
        <v>71.649999999999991</v>
      </c>
      <c r="I67" s="153">
        <f>SUM(D67:D68)/2</f>
        <v>20.152410371645622</v>
      </c>
      <c r="J67" s="153">
        <f>IF('ROAR TH'!$I$5="x",H67,"")</f>
        <v>71.649999999999991</v>
      </c>
      <c r="K67" s="153">
        <f>IF('ROAR TH'!$I$5="x",I67,"")</f>
        <v>20.152410371645622</v>
      </c>
      <c r="L67" s="154"/>
      <c r="M67" s="153">
        <f>M66</f>
        <v>26.59839308556959</v>
      </c>
      <c r="N67" s="153">
        <f>N66</f>
        <v>173.34107728770803</v>
      </c>
      <c r="O67" s="153"/>
      <c r="P67" s="153"/>
      <c r="Q67" s="164">
        <f t="shared" ref="Q67:Q68" si="63">Q66</f>
        <v>616.19999999999993</v>
      </c>
      <c r="R67" s="201">
        <f t="shared" si="8"/>
        <v>308.09999999999997</v>
      </c>
      <c r="S67" s="201">
        <f t="shared" si="9"/>
        <v>-308.09999999999997</v>
      </c>
      <c r="T67" s="202">
        <f t="shared" si="10"/>
        <v>0</v>
      </c>
      <c r="U67" s="201">
        <f t="shared" ref="U67:U69" si="64">(($D$10-$D$9)*(N67-$E$9)/($E$10-$E$9)+$D$9)/2</f>
        <v>308.09999999999997</v>
      </c>
      <c r="V67" s="201">
        <f t="shared" si="11"/>
        <v>-308.09999999999997</v>
      </c>
    </row>
    <row r="68" spans="1:22" x14ac:dyDescent="0.2">
      <c r="A68" s="1">
        <f t="shared" ref="A68" si="65">A71+1</f>
        <v>9</v>
      </c>
      <c r="B68" s="126">
        <f t="shared" ref="B68" si="66">B65+1</f>
        <v>17</v>
      </c>
      <c r="C68" s="152">
        <f>C65</f>
        <v>74.899999999999991</v>
      </c>
      <c r="D68" s="153">
        <f>(D65+D71)/2</f>
        <v>16.801606914430415</v>
      </c>
      <c r="E68" s="154"/>
      <c r="F68" s="153">
        <f>IF('ROAR TH'!$I$6="x",C68,0)</f>
        <v>74.899999999999991</v>
      </c>
      <c r="G68" s="153">
        <f>IF('ROAR TH'!$I$6="x",D68,0)</f>
        <v>16.801606914430415</v>
      </c>
      <c r="H68" s="168"/>
      <c r="I68" s="169"/>
      <c r="J68" s="153">
        <f>J67</f>
        <v>71.649999999999991</v>
      </c>
      <c r="K68" s="153">
        <f>K67</f>
        <v>20.152410371645622</v>
      </c>
      <c r="L68" s="154"/>
      <c r="M68" s="153">
        <f>M67</f>
        <v>26.59839308556959</v>
      </c>
      <c r="N68" s="153">
        <f>N67</f>
        <v>173.34107728770803</v>
      </c>
      <c r="O68" s="153"/>
      <c r="P68" s="153"/>
      <c r="Q68" s="164">
        <f t="shared" si="63"/>
        <v>616.19999999999993</v>
      </c>
      <c r="R68" s="201">
        <f t="shared" si="8"/>
        <v>308.09999999999997</v>
      </c>
      <c r="S68" s="201">
        <f t="shared" si="9"/>
        <v>-308.09999999999997</v>
      </c>
      <c r="T68" s="202">
        <f t="shared" si="10"/>
        <v>0</v>
      </c>
      <c r="U68" s="201">
        <f t="shared" si="64"/>
        <v>308.09999999999997</v>
      </c>
      <c r="V68" s="201">
        <f t="shared" si="11"/>
        <v>-308.09999999999997</v>
      </c>
    </row>
    <row r="69" spans="1:22" x14ac:dyDescent="0.2">
      <c r="A69" s="107"/>
      <c r="B69" s="11"/>
      <c r="C69" s="165"/>
      <c r="D69" s="166"/>
      <c r="E69" s="166"/>
      <c r="F69" s="158"/>
      <c r="G69" s="159"/>
      <c r="H69" s="166"/>
      <c r="I69" s="166"/>
      <c r="J69" s="159">
        <f>J68</f>
        <v>71.649999999999991</v>
      </c>
      <c r="K69" s="159">
        <f>K68</f>
        <v>20.152410371645622</v>
      </c>
      <c r="L69" s="166"/>
      <c r="M69" s="159">
        <f>((H67-H64)^2+(I67-I64)^2)^0.5</f>
        <v>3.350803457215207</v>
      </c>
      <c r="N69" s="159">
        <f>N66+M69</f>
        <v>176.69188074492325</v>
      </c>
      <c r="O69" s="159">
        <f t="shared" ref="O69" si="67">$O$14</f>
        <v>47.4</v>
      </c>
      <c r="P69" s="159">
        <v>2</v>
      </c>
      <c r="Q69" s="161">
        <f t="shared" ref="Q69" si="68">((C67-C68)^2+(D67-D68)^2)^0.5*O69*P69</f>
        <v>885.05604547012797</v>
      </c>
      <c r="R69" s="201">
        <f t="shared" si="8"/>
        <v>442.52802273506398</v>
      </c>
      <c r="S69" s="201">
        <f t="shared" si="9"/>
        <v>-442.52802273506398</v>
      </c>
      <c r="T69" s="202">
        <f t="shared" si="10"/>
        <v>-60.010246610419813</v>
      </c>
      <c r="U69" s="201">
        <f t="shared" si="64"/>
        <v>412.52289942985408</v>
      </c>
      <c r="V69" s="201">
        <f t="shared" si="11"/>
        <v>-412.52289942985408</v>
      </c>
    </row>
    <row r="70" spans="1:22" x14ac:dyDescent="0.2">
      <c r="A70" s="107"/>
      <c r="B70" s="11"/>
      <c r="C70" s="152">
        <f>C73</f>
        <v>68.399999999999991</v>
      </c>
      <c r="D70" s="153">
        <f>D73</f>
        <v>23.503213828860829</v>
      </c>
      <c r="E70" s="154"/>
      <c r="F70" s="153">
        <f>IF('ROAR TH'!$I$6="x",C70,0)</f>
        <v>68.399999999999991</v>
      </c>
      <c r="G70" s="153">
        <f>IF('ROAR TH'!$I$6="x",D70,0)</f>
        <v>23.503213828860829</v>
      </c>
      <c r="H70" s="153">
        <f>SUM(C70:C71)/2</f>
        <v>70.024999999999991</v>
      </c>
      <c r="I70" s="153">
        <f>SUM(D70:D71)/2</f>
        <v>16.801606914430415</v>
      </c>
      <c r="J70" s="153">
        <f>IF('ROAR TH'!$I$5="x",H70,"")</f>
        <v>70.024999999999991</v>
      </c>
      <c r="K70" s="153">
        <f>IF('ROAR TH'!$I$5="x",I70,"")</f>
        <v>16.801606914430415</v>
      </c>
      <c r="L70" s="154"/>
      <c r="M70" s="153">
        <f>M69</f>
        <v>3.350803457215207</v>
      </c>
      <c r="N70" s="153">
        <f>N69</f>
        <v>176.69188074492325</v>
      </c>
      <c r="O70" s="153"/>
      <c r="P70" s="153"/>
      <c r="Q70" s="164">
        <f t="shared" ref="Q70:Q89" si="69">Q69</f>
        <v>885.05604547012797</v>
      </c>
      <c r="R70" s="201">
        <f t="shared" si="8"/>
        <v>442.52802273506398</v>
      </c>
      <c r="S70" s="201">
        <f t="shared" si="9"/>
        <v>-442.52802273506398</v>
      </c>
      <c r="T70" s="202">
        <f t="shared" si="10"/>
        <v>-60.010246610419813</v>
      </c>
      <c r="U70" s="201">
        <f t="shared" ref="U70:U72" si="70">(($D$10-$D$9)*(N70-$E$9)/($E$10-$E$9)+$D$9)/2</f>
        <v>412.52289942985408</v>
      </c>
      <c r="V70" s="201">
        <f t="shared" si="11"/>
        <v>-412.52289942985408</v>
      </c>
    </row>
    <row r="71" spans="1:22" x14ac:dyDescent="0.2">
      <c r="A71" s="1">
        <f t="shared" ref="A71" si="71">A74+1</f>
        <v>8</v>
      </c>
      <c r="B71" s="126">
        <f t="shared" ref="B71" si="72">B68+1</f>
        <v>18</v>
      </c>
      <c r="C71" s="152">
        <f>(C74+C65)/2</f>
        <v>71.649999999999991</v>
      </c>
      <c r="D71" s="153">
        <f>D74</f>
        <v>10.100000000000001</v>
      </c>
      <c r="E71" s="154"/>
      <c r="F71" s="153">
        <f>IF('ROAR TH'!$I$6="x",C71,0)</f>
        <v>71.649999999999991</v>
      </c>
      <c r="G71" s="153">
        <f>IF('ROAR TH'!$I$6="x",D71,0)</f>
        <v>10.100000000000001</v>
      </c>
      <c r="H71" s="168"/>
      <c r="I71" s="169"/>
      <c r="J71" s="153">
        <f>J70</f>
        <v>70.024999999999991</v>
      </c>
      <c r="K71" s="153">
        <f>K70</f>
        <v>16.801606914430415</v>
      </c>
      <c r="L71" s="154"/>
      <c r="M71" s="153">
        <f>M70</f>
        <v>3.350803457215207</v>
      </c>
      <c r="N71" s="153">
        <f>N70</f>
        <v>176.69188074492325</v>
      </c>
      <c r="O71" s="153"/>
      <c r="P71" s="153"/>
      <c r="Q71" s="164">
        <f t="shared" si="69"/>
        <v>885.05604547012797</v>
      </c>
      <c r="R71" s="201">
        <f t="shared" si="8"/>
        <v>442.52802273506398</v>
      </c>
      <c r="S71" s="201">
        <f t="shared" si="9"/>
        <v>-442.52802273506398</v>
      </c>
      <c r="T71" s="202">
        <f t="shared" si="10"/>
        <v>-60.010246610419813</v>
      </c>
      <c r="U71" s="201">
        <f t="shared" si="70"/>
        <v>412.52289942985408</v>
      </c>
      <c r="V71" s="201">
        <f t="shared" si="11"/>
        <v>-412.52289942985408</v>
      </c>
    </row>
    <row r="72" spans="1:22" x14ac:dyDescent="0.2">
      <c r="A72" s="107"/>
      <c r="B72" s="11"/>
      <c r="C72" s="167"/>
      <c r="D72" s="154"/>
      <c r="E72" s="154"/>
      <c r="F72" s="169"/>
      <c r="G72" s="153"/>
      <c r="H72" s="154"/>
      <c r="I72" s="154"/>
      <c r="J72" s="153">
        <f>J71</f>
        <v>70.024999999999991</v>
      </c>
      <c r="K72" s="153">
        <f>K71</f>
        <v>16.801606914430415</v>
      </c>
      <c r="L72" s="154"/>
      <c r="M72" s="153">
        <f>((H70-H67)^2+(I70-I67)^2)^0.5</f>
        <v>3.7240446840613211</v>
      </c>
      <c r="N72" s="153">
        <f>N69+M72</f>
        <v>180.41592542898456</v>
      </c>
      <c r="O72" s="153">
        <f t="shared" ref="O72" si="73">$O$14</f>
        <v>47.4</v>
      </c>
      <c r="P72" s="153">
        <v>2</v>
      </c>
      <c r="Q72" s="164">
        <f t="shared" ref="Q72" si="74">((C70-C71)^2+(D70-D71)^2)^0.5*O72*P72</f>
        <v>1307.4450904312903</v>
      </c>
      <c r="R72" s="201">
        <f t="shared" si="8"/>
        <v>653.72254521564514</v>
      </c>
      <c r="S72" s="201">
        <f t="shared" si="9"/>
        <v>-653.72254521564514</v>
      </c>
      <c r="T72" s="202">
        <f t="shared" si="10"/>
        <v>-250.29045649284376</v>
      </c>
      <c r="U72" s="201">
        <f t="shared" si="70"/>
        <v>528.57731696922326</v>
      </c>
      <c r="V72" s="201">
        <f t="shared" si="11"/>
        <v>-528.57731696922326</v>
      </c>
    </row>
    <row r="73" spans="1:22" x14ac:dyDescent="0.2">
      <c r="A73" s="107"/>
      <c r="B73" s="11"/>
      <c r="C73" s="148">
        <f>Panels!C71</f>
        <v>68.399999999999991</v>
      </c>
      <c r="D73" s="149">
        <f>Panels!D71</f>
        <v>23.503213828860829</v>
      </c>
      <c r="E73" s="150"/>
      <c r="F73" s="149">
        <f>IF('ROAR TH'!$I$6="x",C73,0)</f>
        <v>68.399999999999991</v>
      </c>
      <c r="G73" s="149">
        <f>IF('ROAR TH'!$I$6="x",D73,0)</f>
        <v>23.503213828860829</v>
      </c>
      <c r="H73" s="149">
        <f>SUM(C73:C74)/2</f>
        <v>68.399999999999991</v>
      </c>
      <c r="I73" s="149">
        <f>SUM(D73:D74)/2</f>
        <v>16.801606914430415</v>
      </c>
      <c r="J73" s="149">
        <f>IF('ROAR TH'!$I$5="x",H73,"")</f>
        <v>68.399999999999991</v>
      </c>
      <c r="K73" s="149">
        <f>IF('ROAR TH'!$I$5="x",I73,"")</f>
        <v>16.801606914430415</v>
      </c>
      <c r="L73" s="150"/>
      <c r="M73" s="149">
        <f>M72</f>
        <v>3.7240446840613211</v>
      </c>
      <c r="N73" s="149">
        <f>N72</f>
        <v>180.41592542898456</v>
      </c>
      <c r="O73" s="149"/>
      <c r="P73" s="149"/>
      <c r="Q73" s="163">
        <f t="shared" si="69"/>
        <v>1307.4450904312903</v>
      </c>
      <c r="R73" s="201">
        <f t="shared" si="8"/>
        <v>653.72254521564514</v>
      </c>
      <c r="S73" s="201">
        <f t="shared" si="9"/>
        <v>-653.72254521564514</v>
      </c>
      <c r="T73" s="202">
        <f t="shared" si="10"/>
        <v>-250.29045649284376</v>
      </c>
      <c r="U73" s="201">
        <f t="shared" ref="U73:U75" si="75">(($D$10-$D$9)*(N73-$E$9)/($E$10-$E$9)+$D$9)/2</f>
        <v>528.57731696922326</v>
      </c>
      <c r="V73" s="201">
        <f t="shared" si="11"/>
        <v>-528.57731696922326</v>
      </c>
    </row>
    <row r="74" spans="1:22" x14ac:dyDescent="0.2">
      <c r="A74" s="1">
        <f t="shared" ref="A74" si="76">A77+1</f>
        <v>7</v>
      </c>
      <c r="B74" s="126">
        <f t="shared" ref="B74" si="77">B71+1</f>
        <v>19</v>
      </c>
      <c r="C74" s="152">
        <f>C73</f>
        <v>68.399999999999991</v>
      </c>
      <c r="D74" s="153">
        <f>Panels!$D$52</f>
        <v>10.100000000000001</v>
      </c>
      <c r="E74" s="154"/>
      <c r="F74" s="153">
        <f>IF('ROAR TH'!$I$6="x",C74,0)</f>
        <v>68.399999999999991</v>
      </c>
      <c r="G74" s="153">
        <f>IF('ROAR TH'!$I$6="x",D74,0)</f>
        <v>10.100000000000001</v>
      </c>
      <c r="H74" s="168"/>
      <c r="I74" s="169"/>
      <c r="J74" s="153">
        <f>J73</f>
        <v>68.399999999999991</v>
      </c>
      <c r="K74" s="153">
        <f>K73</f>
        <v>16.801606914430415</v>
      </c>
      <c r="L74" s="154"/>
      <c r="M74" s="153">
        <f>M73</f>
        <v>3.7240446840613211</v>
      </c>
      <c r="N74" s="153">
        <f>N73</f>
        <v>180.41592542898456</v>
      </c>
      <c r="O74" s="153"/>
      <c r="P74" s="153"/>
      <c r="Q74" s="164">
        <f t="shared" si="69"/>
        <v>1307.4450904312903</v>
      </c>
      <c r="R74" s="201">
        <f t="shared" si="8"/>
        <v>653.72254521564514</v>
      </c>
      <c r="S74" s="201">
        <f t="shared" si="9"/>
        <v>-653.72254521564514</v>
      </c>
      <c r="T74" s="202">
        <f t="shared" si="10"/>
        <v>-250.29045649284376</v>
      </c>
      <c r="U74" s="201">
        <f t="shared" si="75"/>
        <v>528.57731696922326</v>
      </c>
      <c r="V74" s="201">
        <f t="shared" si="11"/>
        <v>-528.57731696922326</v>
      </c>
    </row>
    <row r="75" spans="1:22" x14ac:dyDescent="0.2">
      <c r="A75" s="107"/>
      <c r="B75" s="11"/>
      <c r="C75" s="165"/>
      <c r="D75" s="166"/>
      <c r="E75" s="166"/>
      <c r="F75" s="158"/>
      <c r="G75" s="159"/>
      <c r="H75" s="166"/>
      <c r="I75" s="166"/>
      <c r="J75" s="159">
        <f>J74</f>
        <v>68.399999999999991</v>
      </c>
      <c r="K75" s="159">
        <f>K74</f>
        <v>16.801606914430415</v>
      </c>
      <c r="L75" s="166"/>
      <c r="M75" s="159">
        <f>((H73-H70)^2+(I73-I70)^2)^0.5</f>
        <v>1.625</v>
      </c>
      <c r="N75" s="159">
        <f>N72+M75</f>
        <v>182.04092542898456</v>
      </c>
      <c r="O75" s="159">
        <f t="shared" ref="O75" si="78">$O$14</f>
        <v>47.4</v>
      </c>
      <c r="P75" s="159">
        <v>2</v>
      </c>
      <c r="Q75" s="161">
        <f t="shared" ref="Q75" si="79">((C73-C74)^2+(D73-D74)^2)^0.5*O75*P75</f>
        <v>1270.6246709760064</v>
      </c>
      <c r="R75" s="201">
        <f t="shared" si="8"/>
        <v>635.31233548800321</v>
      </c>
      <c r="S75" s="201">
        <f t="shared" si="9"/>
        <v>-635.31233548800321</v>
      </c>
      <c r="T75" s="202">
        <f t="shared" si="10"/>
        <v>-112.18853023468932</v>
      </c>
      <c r="U75" s="201">
        <f t="shared" si="75"/>
        <v>579.21807037065855</v>
      </c>
      <c r="V75" s="201">
        <f t="shared" si="11"/>
        <v>-579.21807037065855</v>
      </c>
    </row>
    <row r="76" spans="1:22" x14ac:dyDescent="0.2">
      <c r="A76" s="107"/>
      <c r="B76" s="11"/>
      <c r="C76" s="148">
        <f>Panels!C41</f>
        <v>66.599999999999994</v>
      </c>
      <c r="D76" s="149">
        <f>D73</f>
        <v>23.503213828860829</v>
      </c>
      <c r="E76" s="150"/>
      <c r="F76" s="149">
        <f>IF('ROAR TH'!$I$6="x",C76,0)</f>
        <v>66.599999999999994</v>
      </c>
      <c r="G76" s="149">
        <f>IF('ROAR TH'!$I$6="x",D76,0)</f>
        <v>23.503213828860829</v>
      </c>
      <c r="H76" s="149">
        <f>SUM(C76:C77)/2</f>
        <v>66.599999999999994</v>
      </c>
      <c r="I76" s="149">
        <f>SUM(D76:D77)/2</f>
        <v>16.801606914430415</v>
      </c>
      <c r="J76" s="149">
        <f>IF('ROAR TH'!$I$5="x",H76,"")</f>
        <v>66.599999999999994</v>
      </c>
      <c r="K76" s="149">
        <f>IF('ROAR TH'!$I$5="x",I76,"")</f>
        <v>16.801606914430415</v>
      </c>
      <c r="L76" s="150"/>
      <c r="M76" s="149">
        <f>M75</f>
        <v>1.625</v>
      </c>
      <c r="N76" s="149">
        <f>N75</f>
        <v>182.04092542898456</v>
      </c>
      <c r="O76" s="149"/>
      <c r="P76" s="149"/>
      <c r="Q76" s="163">
        <f t="shared" si="69"/>
        <v>1270.6246709760064</v>
      </c>
      <c r="R76" s="201">
        <f t="shared" si="8"/>
        <v>635.31233548800321</v>
      </c>
      <c r="S76" s="201">
        <f t="shared" si="9"/>
        <v>-635.31233548800321</v>
      </c>
      <c r="T76" s="202">
        <f t="shared" si="10"/>
        <v>-112.18853023468932</v>
      </c>
      <c r="U76" s="201">
        <f t="shared" ref="U76:U78" si="80">(($D$10-$D$9)*(N76-$E$9)/($E$10-$E$9)+$D$9)/2</f>
        <v>579.21807037065855</v>
      </c>
      <c r="V76" s="201">
        <f t="shared" si="11"/>
        <v>-579.21807037065855</v>
      </c>
    </row>
    <row r="77" spans="1:22" x14ac:dyDescent="0.2">
      <c r="A77" s="1">
        <f t="shared" ref="A77" si="81">A80+1</f>
        <v>6</v>
      </c>
      <c r="B77" s="126">
        <f t="shared" ref="B77" si="82">B74+1</f>
        <v>20</v>
      </c>
      <c r="C77" s="152">
        <f>C76</f>
        <v>66.599999999999994</v>
      </c>
      <c r="D77" s="153">
        <f>Panels!D52</f>
        <v>10.100000000000001</v>
      </c>
      <c r="E77" s="173"/>
      <c r="F77" s="153">
        <f>IF('ROAR TH'!$I$6="x",C77,0)</f>
        <v>66.599999999999994</v>
      </c>
      <c r="G77" s="153">
        <f>IF('ROAR TH'!$I$6="x",D77,0)</f>
        <v>10.100000000000001</v>
      </c>
      <c r="H77" s="168"/>
      <c r="I77" s="169"/>
      <c r="J77" s="153">
        <f>J76</f>
        <v>66.599999999999994</v>
      </c>
      <c r="K77" s="153">
        <f>K76</f>
        <v>16.801606914430415</v>
      </c>
      <c r="L77" s="154"/>
      <c r="M77" s="153">
        <f>M76</f>
        <v>1.625</v>
      </c>
      <c r="N77" s="153">
        <f>N76</f>
        <v>182.04092542898456</v>
      </c>
      <c r="O77" s="153"/>
      <c r="P77" s="153"/>
      <c r="Q77" s="164">
        <f t="shared" si="69"/>
        <v>1270.6246709760064</v>
      </c>
      <c r="R77" s="201">
        <f t="shared" si="8"/>
        <v>635.31233548800321</v>
      </c>
      <c r="S77" s="201">
        <f t="shared" si="9"/>
        <v>-635.31233548800321</v>
      </c>
      <c r="T77" s="202">
        <f t="shared" si="10"/>
        <v>-112.18853023468932</v>
      </c>
      <c r="U77" s="201">
        <f t="shared" si="80"/>
        <v>579.21807037065855</v>
      </c>
      <c r="V77" s="201">
        <f t="shared" si="11"/>
        <v>-579.21807037065855</v>
      </c>
    </row>
    <row r="78" spans="1:22" x14ac:dyDescent="0.2">
      <c r="A78" s="107"/>
      <c r="B78" s="11"/>
      <c r="C78" s="165"/>
      <c r="D78" s="166"/>
      <c r="E78" s="166"/>
      <c r="F78" s="158"/>
      <c r="G78" s="159"/>
      <c r="H78" s="166"/>
      <c r="I78" s="166"/>
      <c r="J78" s="159">
        <f>J77</f>
        <v>66.599999999999994</v>
      </c>
      <c r="K78" s="159">
        <f>K77</f>
        <v>16.801606914430415</v>
      </c>
      <c r="L78" s="166"/>
      <c r="M78" s="159">
        <f>((H76-H73)^2+(I76-I73)^2)^0.5</f>
        <v>1.7999999999999972</v>
      </c>
      <c r="N78" s="159">
        <f>N75+M78</f>
        <v>183.84092542898458</v>
      </c>
      <c r="O78" s="159">
        <f t="shared" ref="O78" si="83">$O$14</f>
        <v>47.4</v>
      </c>
      <c r="P78" s="159">
        <v>2</v>
      </c>
      <c r="Q78" s="161">
        <f t="shared" ref="Q78" si="84">((C76-C77)^2+(D76-D77)^2)^0.5*O78*P78</f>
        <v>1270.6246709760064</v>
      </c>
      <c r="R78" s="201">
        <f t="shared" si="8"/>
        <v>635.31233548800321</v>
      </c>
      <c r="S78" s="201">
        <f t="shared" si="9"/>
        <v>-635.31233548800321</v>
      </c>
      <c r="T78" s="202">
        <f t="shared" si="10"/>
        <v>2.1576233734776906E-4</v>
      </c>
      <c r="U78" s="201">
        <f t="shared" si="80"/>
        <v>635.31244336917189</v>
      </c>
      <c r="V78" s="201">
        <f t="shared" si="11"/>
        <v>-635.31244336917189</v>
      </c>
    </row>
    <row r="79" spans="1:22" x14ac:dyDescent="0.2">
      <c r="A79" s="107"/>
      <c r="B79" s="11"/>
      <c r="C79" s="148">
        <f>(Panels!C81+C76)/2</f>
        <v>54.55</v>
      </c>
      <c r="D79" s="149">
        <f>D77</f>
        <v>10.100000000000001</v>
      </c>
      <c r="E79" s="150"/>
      <c r="F79" s="149">
        <f>IF('ROAR TH'!$I$6="x",C79,0)</f>
        <v>54.55</v>
      </c>
      <c r="G79" s="149">
        <f>IF('ROAR TH'!$I$6="x",D79,0)</f>
        <v>10.100000000000001</v>
      </c>
      <c r="H79" s="149">
        <f>SUM(C79:C80)/2</f>
        <v>60.574999999999996</v>
      </c>
      <c r="I79" s="149">
        <f>SUM(D79:D80)/2</f>
        <v>16.801606914430415</v>
      </c>
      <c r="J79" s="149">
        <f>IF('ROAR TH'!$I$5="x",H79,"")</f>
        <v>60.574999999999996</v>
      </c>
      <c r="K79" s="149">
        <f>IF('ROAR TH'!$I$5="x",I79,"")</f>
        <v>16.801606914430415</v>
      </c>
      <c r="L79" s="150"/>
      <c r="M79" s="149">
        <f>M78</f>
        <v>1.7999999999999972</v>
      </c>
      <c r="N79" s="149">
        <f>N78</f>
        <v>183.84092542898458</v>
      </c>
      <c r="O79" s="149"/>
      <c r="P79" s="149"/>
      <c r="Q79" s="163">
        <f t="shared" si="69"/>
        <v>1270.6246709760064</v>
      </c>
      <c r="R79" s="201">
        <f t="shared" si="8"/>
        <v>635.31233548800321</v>
      </c>
      <c r="S79" s="201">
        <f t="shared" si="9"/>
        <v>-635.31233548800321</v>
      </c>
      <c r="T79" s="202">
        <f t="shared" si="10"/>
        <v>2.1576233734776906E-4</v>
      </c>
      <c r="U79" s="201">
        <f t="shared" ref="U79:U81" si="85">(($D$10-$D$9)*(N79-$E$9)/($E$10-$E$9)+$D$9)/2</f>
        <v>635.31244336917189</v>
      </c>
      <c r="V79" s="201">
        <f t="shared" si="11"/>
        <v>-635.31244336917189</v>
      </c>
    </row>
    <row r="80" spans="1:22" x14ac:dyDescent="0.2">
      <c r="A80" s="1">
        <f t="shared" ref="A80" si="86">A83+1</f>
        <v>5</v>
      </c>
      <c r="B80" s="126">
        <f t="shared" ref="B80" si="87">B77+1</f>
        <v>21</v>
      </c>
      <c r="C80" s="152">
        <f>C76</f>
        <v>66.599999999999994</v>
      </c>
      <c r="D80" s="153">
        <f>D76</f>
        <v>23.503213828860829</v>
      </c>
      <c r="E80" s="154"/>
      <c r="F80" s="153">
        <f>IF('ROAR TH'!$I$6="x",C80,0)</f>
        <v>66.599999999999994</v>
      </c>
      <c r="G80" s="153">
        <f>IF('ROAR TH'!$I$6="x",D80,0)</f>
        <v>23.503213828860829</v>
      </c>
      <c r="H80" s="168"/>
      <c r="I80" s="169"/>
      <c r="J80" s="153">
        <f>J79</f>
        <v>60.574999999999996</v>
      </c>
      <c r="K80" s="153">
        <f>K79</f>
        <v>16.801606914430415</v>
      </c>
      <c r="L80" s="154"/>
      <c r="M80" s="153">
        <f>M79</f>
        <v>1.7999999999999972</v>
      </c>
      <c r="N80" s="153">
        <f>N79</f>
        <v>183.84092542898458</v>
      </c>
      <c r="O80" s="153"/>
      <c r="P80" s="153"/>
      <c r="Q80" s="164">
        <f t="shared" si="69"/>
        <v>1270.6246709760064</v>
      </c>
      <c r="R80" s="201">
        <f t="shared" si="8"/>
        <v>635.31233548800321</v>
      </c>
      <c r="S80" s="201">
        <f t="shared" si="9"/>
        <v>-635.31233548800321</v>
      </c>
      <c r="T80" s="202">
        <f t="shared" si="10"/>
        <v>2.1576233734776906E-4</v>
      </c>
      <c r="U80" s="201">
        <f t="shared" si="85"/>
        <v>635.31244336917189</v>
      </c>
      <c r="V80" s="201">
        <f t="shared" si="11"/>
        <v>-635.31244336917189</v>
      </c>
    </row>
    <row r="81" spans="1:22" x14ac:dyDescent="0.2">
      <c r="A81" s="107"/>
      <c r="B81" s="11"/>
      <c r="C81" s="165"/>
      <c r="D81" s="166"/>
      <c r="E81" s="166"/>
      <c r="F81" s="158"/>
      <c r="G81" s="159"/>
      <c r="H81" s="166"/>
      <c r="I81" s="166"/>
      <c r="J81" s="159">
        <f>J80</f>
        <v>60.574999999999996</v>
      </c>
      <c r="K81" s="159">
        <f>K80</f>
        <v>16.801606914430415</v>
      </c>
      <c r="L81" s="166"/>
      <c r="M81" s="159">
        <f>((H79-H76)^2+(I79-I76)^2)^0.5</f>
        <v>6.0249999999999986</v>
      </c>
      <c r="N81" s="159">
        <f>N78+M81</f>
        <v>189.86592542898458</v>
      </c>
      <c r="O81" s="159">
        <f t="shared" ref="O81" si="88">$O$14</f>
        <v>47.4</v>
      </c>
      <c r="P81" s="159">
        <v>2</v>
      </c>
      <c r="Q81" s="161">
        <f t="shared" ref="Q81" si="89">((C79-C80)^2+(D79-D80)^2)^0.5*O81*P81</f>
        <v>1708.6332930423907</v>
      </c>
      <c r="R81" s="201">
        <f t="shared" si="8"/>
        <v>854.31664652119537</v>
      </c>
      <c r="S81" s="201">
        <f t="shared" si="9"/>
        <v>-854.31664652119537</v>
      </c>
      <c r="T81" s="202">
        <f t="shared" si="10"/>
        <v>-62.487742619557366</v>
      </c>
      <c r="U81" s="201">
        <f t="shared" si="85"/>
        <v>823.07277521141668</v>
      </c>
      <c r="V81" s="201">
        <f t="shared" si="11"/>
        <v>-823.07277521141668</v>
      </c>
    </row>
    <row r="82" spans="1:22" x14ac:dyDescent="0.2">
      <c r="A82" s="107"/>
      <c r="B82" s="11"/>
      <c r="C82" s="148">
        <f>C85</f>
        <v>42.5</v>
      </c>
      <c r="D82" s="149">
        <f>(D79+D83)/2</f>
        <v>16.801606914430415</v>
      </c>
      <c r="E82" s="150"/>
      <c r="F82" s="149">
        <f>IF('ROAR TH'!$I$6="x",C82,0)</f>
        <v>42.5</v>
      </c>
      <c r="G82" s="149">
        <f>IF('ROAR TH'!$I$6="x",D82,0)</f>
        <v>16.801606914430415</v>
      </c>
      <c r="H82" s="149">
        <f>SUM(C82:C83)/2</f>
        <v>54.55</v>
      </c>
      <c r="I82" s="149">
        <f>SUM(D82:D83)/2</f>
        <v>20.152410371645622</v>
      </c>
      <c r="J82" s="149">
        <f>IF('ROAR TH'!$I$5="x",H82,"")</f>
        <v>54.55</v>
      </c>
      <c r="K82" s="149">
        <f>IF('ROAR TH'!$I$5="x",I82,"")</f>
        <v>20.152410371645622</v>
      </c>
      <c r="L82" s="150"/>
      <c r="M82" s="149">
        <f>M81</f>
        <v>6.0249999999999986</v>
      </c>
      <c r="N82" s="149">
        <f>N81</f>
        <v>189.86592542898458</v>
      </c>
      <c r="O82" s="149"/>
      <c r="P82" s="149"/>
      <c r="Q82" s="163">
        <f t="shared" si="69"/>
        <v>1708.6332930423907</v>
      </c>
      <c r="R82" s="201">
        <f t="shared" ref="R82:R84" si="90">Q82/2</f>
        <v>854.31664652119537</v>
      </c>
      <c r="S82" s="201">
        <f t="shared" ref="S82:S84" si="91">-R82</f>
        <v>-854.31664652119537</v>
      </c>
      <c r="T82" s="202">
        <f t="shared" ref="T82:T84" si="92">(U82-R82)*2</f>
        <v>-62.487742619557366</v>
      </c>
      <c r="U82" s="201">
        <f t="shared" ref="U82:U84" si="93">(($D$10-$D$9)*(N82-$E$9)/($E$10-$E$9)+$D$9)/2</f>
        <v>823.07277521141668</v>
      </c>
      <c r="V82" s="201">
        <f t="shared" ref="V82:V84" si="94">-U82</f>
        <v>-823.07277521141668</v>
      </c>
    </row>
    <row r="83" spans="1:22" x14ac:dyDescent="0.2">
      <c r="A83" s="1">
        <f t="shared" ref="A83" si="95">A86+1</f>
        <v>4</v>
      </c>
      <c r="B83" s="126">
        <f t="shared" ref="B83" si="96">B80+1</f>
        <v>22</v>
      </c>
      <c r="C83" s="152">
        <f>C77</f>
        <v>66.599999999999994</v>
      </c>
      <c r="D83" s="153">
        <f>D80</f>
        <v>23.503213828860829</v>
      </c>
      <c r="E83" s="154"/>
      <c r="F83" s="153">
        <f>IF('ROAR TH'!$I$6="x",C83,0)</f>
        <v>66.599999999999994</v>
      </c>
      <c r="G83" s="153">
        <f>IF('ROAR TH'!$I$6="x",D83,0)</f>
        <v>23.503213828860829</v>
      </c>
      <c r="H83" s="168"/>
      <c r="I83" s="169"/>
      <c r="J83" s="153">
        <f>J82</f>
        <v>54.55</v>
      </c>
      <c r="K83" s="153">
        <f>K82</f>
        <v>20.152410371645622</v>
      </c>
      <c r="L83" s="154"/>
      <c r="M83" s="153">
        <f>M82</f>
        <v>6.0249999999999986</v>
      </c>
      <c r="N83" s="153">
        <f>N82</f>
        <v>189.86592542898458</v>
      </c>
      <c r="O83" s="153"/>
      <c r="P83" s="153"/>
      <c r="Q83" s="164">
        <f t="shared" si="69"/>
        <v>1708.6332930423907</v>
      </c>
      <c r="R83" s="201">
        <f t="shared" si="90"/>
        <v>854.31664652119537</v>
      </c>
      <c r="S83" s="201">
        <f t="shared" si="91"/>
        <v>-854.31664652119537</v>
      </c>
      <c r="T83" s="202">
        <f t="shared" si="92"/>
        <v>-62.487742619557366</v>
      </c>
      <c r="U83" s="201">
        <f t="shared" si="93"/>
        <v>823.07277521141668</v>
      </c>
      <c r="V83" s="201">
        <f t="shared" si="94"/>
        <v>-823.07277521141668</v>
      </c>
    </row>
    <row r="84" spans="1:22" x14ac:dyDescent="0.2">
      <c r="A84" s="107"/>
      <c r="B84" s="11"/>
      <c r="C84" s="165"/>
      <c r="D84" s="166"/>
      <c r="E84" s="166"/>
      <c r="F84" s="158"/>
      <c r="G84" s="159"/>
      <c r="H84" s="166"/>
      <c r="I84" s="166"/>
      <c r="J84" s="159">
        <f>J83</f>
        <v>54.55</v>
      </c>
      <c r="K84" s="159">
        <f>K83</f>
        <v>20.152410371645622</v>
      </c>
      <c r="L84" s="166"/>
      <c r="M84" s="159">
        <f>((H82-H79)^2+(I82-I79)^2)^0.5</f>
        <v>6.8940923121818845</v>
      </c>
      <c r="N84" s="159">
        <f>N81+M84</f>
        <v>196.76001774116648</v>
      </c>
      <c r="O84" s="159">
        <f t="shared" ref="O84" si="97">$O$14</f>
        <v>47.4</v>
      </c>
      <c r="P84" s="159">
        <v>2</v>
      </c>
      <c r="Q84" s="161">
        <f t="shared" ref="Q84" si="98">((C82-C83)^2+(D82-D83)^2)^0.5*O84*P84</f>
        <v>2371.3676362013584</v>
      </c>
      <c r="R84" s="201">
        <f t="shared" si="90"/>
        <v>1185.6838181006792</v>
      </c>
      <c r="S84" s="201">
        <f t="shared" si="91"/>
        <v>-1185.6838181006792</v>
      </c>
      <c r="T84" s="202">
        <f t="shared" si="92"/>
        <v>-295.53343506106694</v>
      </c>
      <c r="U84" s="201">
        <f t="shared" si="93"/>
        <v>1037.9171005701457</v>
      </c>
      <c r="V84" s="201">
        <f t="shared" si="94"/>
        <v>-1037.9171005701457</v>
      </c>
    </row>
    <row r="85" spans="1:22" x14ac:dyDescent="0.2">
      <c r="A85" s="107"/>
      <c r="B85" s="11"/>
      <c r="C85" s="148">
        <f>Panels!C82</f>
        <v>42.5</v>
      </c>
      <c r="D85" s="149">
        <f>D83</f>
        <v>23.503213828860829</v>
      </c>
      <c r="E85" s="150"/>
      <c r="F85" s="149">
        <f>IF('ROAR TH'!$I$6="x",C85,0)</f>
        <v>42.5</v>
      </c>
      <c r="G85" s="149">
        <f>IF('ROAR TH'!$I$6="x",D85,0)</f>
        <v>23.503213828860829</v>
      </c>
      <c r="H85" s="149">
        <f>SUM(C85:C86)/2</f>
        <v>54.55</v>
      </c>
      <c r="I85" s="149">
        <f>SUM(D85:D86)/2</f>
        <v>23.503213828860829</v>
      </c>
      <c r="J85" s="149">
        <f>IF('ROAR TH'!$I$5="x",H85,"")</f>
        <v>54.55</v>
      </c>
      <c r="K85" s="149">
        <f>IF('ROAR TH'!$I$5="x",I85,"")</f>
        <v>23.503213828860829</v>
      </c>
      <c r="L85" s="150"/>
      <c r="M85" s="149">
        <f>M84</f>
        <v>6.8940923121818845</v>
      </c>
      <c r="N85" s="149">
        <f>N84</f>
        <v>196.76001774116648</v>
      </c>
      <c r="O85" s="149"/>
      <c r="P85" s="149"/>
      <c r="Q85" s="163">
        <f t="shared" si="69"/>
        <v>2371.3676362013584</v>
      </c>
      <c r="R85" s="201">
        <f t="shared" ref="R85:R93" si="99">Q85/2</f>
        <v>1185.6838181006792</v>
      </c>
      <c r="S85" s="201">
        <f t="shared" ref="S85:S93" si="100">-R85</f>
        <v>-1185.6838181006792</v>
      </c>
      <c r="T85" s="202">
        <f t="shared" ref="T85:T90" si="101">(U85-R85)*2</f>
        <v>-295.53343506106694</v>
      </c>
      <c r="U85" s="201">
        <f t="shared" ref="U85:U87" si="102">(($D$10-$D$9)*(N85-$E$9)/($E$10-$E$9)+$D$9)/2</f>
        <v>1037.9171005701457</v>
      </c>
      <c r="V85" s="201">
        <f t="shared" ref="V85:V93" si="103">-U85</f>
        <v>-1037.9171005701457</v>
      </c>
    </row>
    <row r="86" spans="1:22" x14ac:dyDescent="0.2">
      <c r="A86" s="1">
        <f t="shared" ref="A86" si="104">A89+1</f>
        <v>3</v>
      </c>
      <c r="B86" s="126">
        <f t="shared" ref="B86" si="105">B83+1</f>
        <v>23</v>
      </c>
      <c r="C86" s="152">
        <f>C83</f>
        <v>66.599999999999994</v>
      </c>
      <c r="D86" s="153">
        <f>D83</f>
        <v>23.503213828860829</v>
      </c>
      <c r="E86" s="173" t="s">
        <v>19</v>
      </c>
      <c r="F86" s="153">
        <f>IF('ROAR TH'!$I$6="x",C86,0)</f>
        <v>66.599999999999994</v>
      </c>
      <c r="G86" s="153">
        <f>IF('ROAR TH'!$I$6="x",D86,0)</f>
        <v>23.503213828860829</v>
      </c>
      <c r="H86" s="168"/>
      <c r="I86" s="169"/>
      <c r="J86" s="153">
        <f>J85</f>
        <v>54.55</v>
      </c>
      <c r="K86" s="153">
        <f>K85</f>
        <v>23.503213828860829</v>
      </c>
      <c r="L86" s="154"/>
      <c r="M86" s="153">
        <f>M85</f>
        <v>6.8940923121818845</v>
      </c>
      <c r="N86" s="153">
        <f>N85</f>
        <v>196.76001774116648</v>
      </c>
      <c r="O86" s="153"/>
      <c r="P86" s="153"/>
      <c r="Q86" s="164">
        <f t="shared" si="69"/>
        <v>2371.3676362013584</v>
      </c>
      <c r="R86" s="201">
        <f t="shared" si="99"/>
        <v>1185.6838181006792</v>
      </c>
      <c r="S86" s="201">
        <f t="shared" si="100"/>
        <v>-1185.6838181006792</v>
      </c>
      <c r="T86" s="202">
        <f t="shared" si="101"/>
        <v>-295.53343506106694</v>
      </c>
      <c r="U86" s="201">
        <f t="shared" si="102"/>
        <v>1037.9171005701457</v>
      </c>
      <c r="V86" s="201">
        <f t="shared" si="103"/>
        <v>-1037.9171005701457</v>
      </c>
    </row>
    <row r="87" spans="1:22" x14ac:dyDescent="0.2">
      <c r="A87" s="107"/>
      <c r="B87" s="11"/>
      <c r="C87" s="165"/>
      <c r="D87" s="166"/>
      <c r="E87" s="166"/>
      <c r="F87" s="158"/>
      <c r="G87" s="159"/>
      <c r="H87" s="166"/>
      <c r="I87" s="166"/>
      <c r="J87" s="159">
        <f>J86</f>
        <v>54.55</v>
      </c>
      <c r="K87" s="159">
        <f>K86</f>
        <v>23.503213828860829</v>
      </c>
      <c r="L87" s="166"/>
      <c r="M87" s="159">
        <f>((H85-H82)^2+(I85-I82)^2)^0.5</f>
        <v>3.350803457215207</v>
      </c>
      <c r="N87" s="159">
        <f>N84+M87</f>
        <v>200.1108211983817</v>
      </c>
      <c r="O87" s="159">
        <f t="shared" ref="O87" si="106">$O$14</f>
        <v>47.4</v>
      </c>
      <c r="P87" s="159">
        <v>2</v>
      </c>
      <c r="Q87" s="161">
        <f t="shared" ref="Q87" si="107">((C85-C86)^2+(D85-D86)^2)^0.5*O87*P87</f>
        <v>2284.6799999999994</v>
      </c>
      <c r="R87" s="201">
        <f t="shared" si="99"/>
        <v>1142.3399999999997</v>
      </c>
      <c r="S87" s="201">
        <f t="shared" si="100"/>
        <v>-1142.3399999999997</v>
      </c>
      <c r="T87" s="202">
        <f t="shared" si="101"/>
        <v>0</v>
      </c>
      <c r="U87" s="201">
        <f t="shared" si="102"/>
        <v>1142.3399999999997</v>
      </c>
      <c r="V87" s="201">
        <f t="shared" si="103"/>
        <v>-1142.3399999999997</v>
      </c>
    </row>
    <row r="88" spans="1:22" x14ac:dyDescent="0.2">
      <c r="A88" s="107"/>
      <c r="B88" s="11"/>
      <c r="C88" s="148">
        <f>(C85+C91)/2</f>
        <v>42.5</v>
      </c>
      <c r="D88" s="149">
        <f>(D85+D91)/2</f>
        <v>54.251606914430411</v>
      </c>
      <c r="E88" s="150"/>
      <c r="F88" s="149">
        <f>IF('ROAR TH'!$I$6="x",C88,0)</f>
        <v>42.5</v>
      </c>
      <c r="G88" s="149">
        <f>IF('ROAR TH'!$I$6="x",D88,0)</f>
        <v>54.251606914430411</v>
      </c>
      <c r="H88" s="149">
        <f>SUM(C88:C89)/2</f>
        <v>54.55</v>
      </c>
      <c r="I88" s="149">
        <f>SUM(D88:D89)/2</f>
        <v>54.251606914430411</v>
      </c>
      <c r="J88" s="149">
        <f>IF('ROAR TH'!$I$5="x",H88,"")</f>
        <v>54.55</v>
      </c>
      <c r="K88" s="149">
        <f>IF('ROAR TH'!$I$5="x",I88,"")</f>
        <v>54.251606914430411</v>
      </c>
      <c r="L88" s="150"/>
      <c r="M88" s="149">
        <f>M87</f>
        <v>3.350803457215207</v>
      </c>
      <c r="N88" s="149">
        <f>N87</f>
        <v>200.1108211983817</v>
      </c>
      <c r="O88" s="149"/>
      <c r="P88" s="149"/>
      <c r="Q88" s="163">
        <f t="shared" si="69"/>
        <v>2284.6799999999994</v>
      </c>
      <c r="R88" s="175">
        <f t="shared" si="99"/>
        <v>1142.3399999999997</v>
      </c>
      <c r="S88" s="175">
        <f t="shared" si="100"/>
        <v>-1142.3399999999997</v>
      </c>
      <c r="T88" s="176">
        <f t="shared" si="101"/>
        <v>0</v>
      </c>
      <c r="U88" s="175">
        <f t="shared" ref="U88:U93" si="108">(($D$11-$D$10)*(N88-$E$10)/($E$11-$E$10)+$D$10)/2</f>
        <v>1142.3399999999997</v>
      </c>
      <c r="V88" s="175">
        <f t="shared" si="103"/>
        <v>-1142.3399999999997</v>
      </c>
    </row>
    <row r="89" spans="1:22" x14ac:dyDescent="0.2">
      <c r="A89" s="1">
        <f>A92+1</f>
        <v>2</v>
      </c>
      <c r="B89" s="126">
        <f t="shared" ref="B89" si="109">B86+1</f>
        <v>24</v>
      </c>
      <c r="C89" s="152">
        <f>(C86+C92)/2</f>
        <v>66.599999999999994</v>
      </c>
      <c r="D89" s="153">
        <f>(D86+D92)/2</f>
        <v>54.251606914430411</v>
      </c>
      <c r="E89" s="173"/>
      <c r="F89" s="153">
        <f>IF('ROAR TH'!$I$6="x",C89,0)</f>
        <v>66.599999999999994</v>
      </c>
      <c r="G89" s="153">
        <f>IF('ROAR TH'!$I$6="x",D89,0)</f>
        <v>54.251606914430411</v>
      </c>
      <c r="H89" s="168"/>
      <c r="I89" s="169"/>
      <c r="J89" s="153">
        <f>J88</f>
        <v>54.55</v>
      </c>
      <c r="K89" s="153">
        <f>K88</f>
        <v>54.251606914430411</v>
      </c>
      <c r="L89" s="154"/>
      <c r="M89" s="153">
        <f>M88</f>
        <v>3.350803457215207</v>
      </c>
      <c r="N89" s="153">
        <f>N88</f>
        <v>200.1108211983817</v>
      </c>
      <c r="O89" s="153"/>
      <c r="P89" s="153"/>
      <c r="Q89" s="164">
        <f t="shared" si="69"/>
        <v>2284.6799999999994</v>
      </c>
      <c r="R89" s="175">
        <f t="shared" si="99"/>
        <v>1142.3399999999997</v>
      </c>
      <c r="S89" s="175">
        <f t="shared" si="100"/>
        <v>-1142.3399999999997</v>
      </c>
      <c r="T89" s="176">
        <f t="shared" si="101"/>
        <v>0</v>
      </c>
      <c r="U89" s="175">
        <f t="shared" si="108"/>
        <v>1142.3399999999997</v>
      </c>
      <c r="V89" s="175">
        <f t="shared" si="103"/>
        <v>-1142.3399999999997</v>
      </c>
    </row>
    <row r="90" spans="1:22" x14ac:dyDescent="0.2">
      <c r="A90" s="107"/>
      <c r="B90" s="11"/>
      <c r="C90" s="165"/>
      <c r="D90" s="166"/>
      <c r="E90" s="166"/>
      <c r="F90" s="158"/>
      <c r="G90" s="159"/>
      <c r="H90" s="166"/>
      <c r="I90" s="166"/>
      <c r="J90" s="159">
        <f>J89</f>
        <v>54.55</v>
      </c>
      <c r="K90" s="159">
        <f>K89</f>
        <v>54.251606914430411</v>
      </c>
      <c r="L90" s="166"/>
      <c r="M90" s="159">
        <f>((H88-H85)^2+(I88-I85)^2)^0.5</f>
        <v>30.748393085569582</v>
      </c>
      <c r="N90" s="159">
        <f>N87+M90</f>
        <v>230.85921428395127</v>
      </c>
      <c r="O90" s="159">
        <f t="shared" ref="O90" si="110">$O$14</f>
        <v>47.4</v>
      </c>
      <c r="P90" s="159">
        <v>2</v>
      </c>
      <c r="Q90" s="161">
        <f t="shared" ref="Q90" si="111">((C88-C89)^2+(D88-D89)^2)^0.5*O90*P90</f>
        <v>2284.6799999999994</v>
      </c>
      <c r="R90" s="175">
        <f t="shared" si="99"/>
        <v>1142.3399999999997</v>
      </c>
      <c r="S90" s="175">
        <f t="shared" si="100"/>
        <v>-1142.3399999999997</v>
      </c>
      <c r="T90" s="176">
        <f t="shared" si="101"/>
        <v>0</v>
      </c>
      <c r="U90" s="175">
        <f t="shared" si="108"/>
        <v>1142.3399999999997</v>
      </c>
      <c r="V90" s="175">
        <f t="shared" si="103"/>
        <v>-1142.3399999999997</v>
      </c>
    </row>
    <row r="91" spans="1:22" x14ac:dyDescent="0.2">
      <c r="A91" s="107"/>
      <c r="B91" s="11"/>
      <c r="C91" s="148">
        <f>Panels!C82</f>
        <v>42.5</v>
      </c>
      <c r="D91" s="149">
        <f>Panels!D40</f>
        <v>85</v>
      </c>
      <c r="E91" s="150"/>
      <c r="F91" s="149">
        <f>IF('ROAR TH'!$I$6="x",C91,0)</f>
        <v>42.5</v>
      </c>
      <c r="G91" s="149">
        <f>IF('ROAR TH'!$I$6="x",D91,0)</f>
        <v>85</v>
      </c>
      <c r="H91" s="149">
        <f>SUM(C91:C92)/2</f>
        <v>54.55</v>
      </c>
      <c r="I91" s="149">
        <f>SUM(D91:D92)/2</f>
        <v>85</v>
      </c>
      <c r="J91" s="149">
        <f>IF('ROAR TH'!$I$5="x",H91,"")</f>
        <v>54.55</v>
      </c>
      <c r="K91" s="149">
        <f>IF('ROAR TH'!$I$5="x",I91,"")</f>
        <v>85</v>
      </c>
      <c r="L91" s="150"/>
      <c r="M91" s="149">
        <f>M90</f>
        <v>30.748393085569582</v>
      </c>
      <c r="N91" s="149">
        <f>N90</f>
        <v>230.85921428395127</v>
      </c>
      <c r="O91" s="149"/>
      <c r="P91" s="149"/>
      <c r="Q91" s="163">
        <f t="shared" ref="Q91:Q92" si="112">Q90</f>
        <v>2284.6799999999994</v>
      </c>
      <c r="R91" s="175">
        <f t="shared" si="99"/>
        <v>1142.3399999999997</v>
      </c>
      <c r="S91" s="175">
        <f t="shared" si="100"/>
        <v>-1142.3399999999997</v>
      </c>
      <c r="T91" s="176">
        <f t="shared" ref="T91:T93" si="113">(U91-R91)*2</f>
        <v>0</v>
      </c>
      <c r="U91" s="175">
        <f t="shared" si="108"/>
        <v>1142.3399999999997</v>
      </c>
      <c r="V91" s="175">
        <f t="shared" si="103"/>
        <v>-1142.3399999999997</v>
      </c>
    </row>
    <row r="92" spans="1:22" x14ac:dyDescent="0.2">
      <c r="A92" s="1">
        <v>1</v>
      </c>
      <c r="B92" s="126">
        <f t="shared" ref="B92" si="114">B89+1</f>
        <v>25</v>
      </c>
      <c r="C92" s="152">
        <f>C86</f>
        <v>66.599999999999994</v>
      </c>
      <c r="D92" s="153">
        <f>Panels!D40</f>
        <v>85</v>
      </c>
      <c r="E92" s="173" t="s">
        <v>76</v>
      </c>
      <c r="F92" s="153">
        <f>IF('ROAR TH'!$I$6="x",C92,0)</f>
        <v>66.599999999999994</v>
      </c>
      <c r="G92" s="153">
        <f>IF('ROAR TH'!$I$6="x",D92,0)</f>
        <v>85</v>
      </c>
      <c r="H92" s="168"/>
      <c r="I92" s="169"/>
      <c r="J92" s="153">
        <f>J91</f>
        <v>54.55</v>
      </c>
      <c r="K92" s="153">
        <f>K91</f>
        <v>85</v>
      </c>
      <c r="L92" s="154"/>
      <c r="M92" s="153">
        <f>M91</f>
        <v>30.748393085569582</v>
      </c>
      <c r="N92" s="153">
        <f>N91</f>
        <v>230.85921428395127</v>
      </c>
      <c r="O92" s="153"/>
      <c r="P92" s="153"/>
      <c r="Q92" s="164">
        <f t="shared" si="112"/>
        <v>2284.6799999999994</v>
      </c>
      <c r="R92" s="175">
        <f t="shared" si="99"/>
        <v>1142.3399999999997</v>
      </c>
      <c r="S92" s="175">
        <f t="shared" si="100"/>
        <v>-1142.3399999999997</v>
      </c>
      <c r="T92" s="176">
        <f t="shared" si="113"/>
        <v>0</v>
      </c>
      <c r="U92" s="175">
        <f t="shared" si="108"/>
        <v>1142.3399999999997</v>
      </c>
      <c r="V92" s="175">
        <f t="shared" si="103"/>
        <v>-1142.3399999999997</v>
      </c>
    </row>
    <row r="93" spans="1:22" x14ac:dyDescent="0.2">
      <c r="A93" s="107"/>
      <c r="B93" s="11"/>
      <c r="C93" s="165"/>
      <c r="D93" s="166"/>
      <c r="E93" s="166"/>
      <c r="F93" s="158"/>
      <c r="G93" s="159"/>
      <c r="H93" s="166"/>
      <c r="I93" s="166"/>
      <c r="J93" s="159">
        <f>J92</f>
        <v>54.55</v>
      </c>
      <c r="K93" s="159">
        <f>K92</f>
        <v>85</v>
      </c>
      <c r="L93" s="166"/>
      <c r="M93" s="159">
        <f>((H91-H88)^2+(I91-I88)^2)^0.5</f>
        <v>30.748393085569589</v>
      </c>
      <c r="N93" s="159">
        <f>N90+M93</f>
        <v>261.60760736952085</v>
      </c>
      <c r="O93" s="159">
        <f t="shared" ref="O93" si="115">$O$14</f>
        <v>47.4</v>
      </c>
      <c r="P93" s="159">
        <v>2</v>
      </c>
      <c r="Q93" s="161">
        <f t="shared" ref="Q93" si="116">((C91-C92)^2+(D91-D92)^2)^0.5*O93*P93</f>
        <v>2284.6799999999994</v>
      </c>
      <c r="R93" s="175">
        <f t="shared" si="99"/>
        <v>1142.3399999999997</v>
      </c>
      <c r="S93" s="175">
        <f t="shared" si="100"/>
        <v>-1142.3399999999997</v>
      </c>
      <c r="T93" s="176">
        <f t="shared" si="113"/>
        <v>0</v>
      </c>
      <c r="U93" s="175">
        <f t="shared" si="108"/>
        <v>1142.3399999999997</v>
      </c>
      <c r="V93" s="175">
        <f t="shared" si="103"/>
        <v>-1142.3399999999997</v>
      </c>
    </row>
    <row r="94" spans="1:22" x14ac:dyDescent="0.2">
      <c r="A94" s="107"/>
    </row>
    <row r="95" spans="1:22" x14ac:dyDescent="0.2">
      <c r="A95" s="107"/>
      <c r="V95" s="171"/>
    </row>
  </sheetData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ROAR TH</vt:lpstr>
      <vt:lpstr>Panels</vt:lpstr>
      <vt:lpstr>Path</vt:lpstr>
    </vt:vector>
  </TitlesOfParts>
  <Company>B&amp;G 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Steele</dc:creator>
  <cp:lastModifiedBy>Brian.Steele</cp:lastModifiedBy>
  <cp:lastPrinted>2011-11-06T17:54:57Z</cp:lastPrinted>
  <dcterms:created xsi:type="dcterms:W3CDTF">2010-07-12T00:49:36Z</dcterms:created>
  <dcterms:modified xsi:type="dcterms:W3CDTF">2018-01-13T02:58:30Z</dcterms:modified>
</cp:coreProperties>
</file>