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7685" activeTab="0"/>
  </bookViews>
  <sheets>
    <sheet name="Driver" sheetId="1" r:id="rId1"/>
    <sheet name="Design" sheetId="2" r:id="rId2"/>
    <sheet name="Hornresp (TH)" sheetId="3" state="hidden" r:id="rId3"/>
    <sheet name="Hornresp (PH1)" sheetId="4" state="hidden" r:id="rId4"/>
    <sheet name="Panels" sheetId="5" state="hidden" r:id="rId5"/>
    <sheet name="Path" sheetId="6" state="hidden" r:id="rId6"/>
    <sheet name="Guides" sheetId="7" r:id="rId7"/>
  </sheets>
  <definedNames>
    <definedName name="_Ap_">'Path'!$D$8</definedName>
    <definedName name="_L12_">'Path'!$F$4</definedName>
    <definedName name="_L23_">'Path'!$F$5</definedName>
    <definedName name="_L34_">'Path'!$F$6</definedName>
    <definedName name="_L45_">'Path'!$F$7</definedName>
    <definedName name="_S1_">'Path'!$D$3</definedName>
    <definedName name="_S2_">'Path'!$D$4</definedName>
    <definedName name="_S3_">'Path'!$D$5</definedName>
    <definedName name="_S3S_">'Path'!$D$10</definedName>
    <definedName name="_S4_">'Path'!$D$6</definedName>
    <definedName name="_S4S_">'Path'!$D$11</definedName>
    <definedName name="_S5_">'Path'!$D$7</definedName>
    <definedName name="_S6_">'Path'!$D$13</definedName>
    <definedName name="_S8_">'Path'!$D$14</definedName>
    <definedName name="_S9_">'Path'!$D$15</definedName>
    <definedName name="_Vrc_">'Path'!$O$4</definedName>
    <definedName name="_xlfn.IFS" hidden="1">#NAME?</definedName>
    <definedName name="_xlfn.SINGLE" hidden="1">#NAME?</definedName>
    <definedName name="Alt_Config">'Design'!$D$16</definedName>
    <definedName name="Ap_Ratio">'Design'!$D$15</definedName>
    <definedName name="Auto_Export">'Design'!$H$29</definedName>
    <definedName name="Con_6">'Path'!$F$13</definedName>
    <definedName name="Con_8">'Path'!$F$14</definedName>
    <definedName name="Con_9">'Path'!$F$15</definedName>
    <definedName name="D">'Design'!$D$11</definedName>
    <definedName name="Driver_Conevol">'Driver'!$D$38</definedName>
    <definedName name="Driver_Count">'Design'!$D$27</definedName>
    <definedName name="Driver_FrameW">'Driver'!$D$33</definedName>
    <definedName name="Driver_FrontMountVol">'Driver'!$D$39</definedName>
    <definedName name="Driver_Fs">'Driver'!$D$16</definedName>
    <definedName name="Driver_Ke">'Driver'!$D$29</definedName>
    <definedName name="Driver_Le">'Driver'!$D$21</definedName>
    <definedName name="Driver_Le1">'Driver'!$D$28</definedName>
    <definedName name="Driver_Leb">'Driver'!$D$27</definedName>
    <definedName name="Driver_MagnetH">'Driver'!$D$37</definedName>
    <definedName name="Driver_MagnetW">'Driver'!$D$36</definedName>
    <definedName name="Driver_MountingW">'Driver'!$D$34</definedName>
    <definedName name="Driver_Name">'Driver'!$D$7</definedName>
    <definedName name="Driver_Offset">'Design'!$D$14</definedName>
    <definedName name="Driver_Path">'Driver'!$D$8</definedName>
    <definedName name="Driver_Pmax">'Driver'!$D$22</definedName>
    <definedName name="Driver_Qes">'Driver'!$D$18</definedName>
    <definedName name="Driver_Qms">'Driver'!$D$19</definedName>
    <definedName name="Driver_Qts">'Driver'!$D$20</definedName>
    <definedName name="Driver_Re">'Driver'!$D$15</definedName>
    <definedName name="Driver_Re1">'Driver'!$D$26</definedName>
    <definedName name="Driver_RearMountingD">'Driver'!$D$35</definedName>
    <definedName name="Driver_Rss">'Driver'!$D$30</definedName>
    <definedName name="Driver_Sd">'Driver'!$D$14</definedName>
    <definedName name="Driver_Size">'Driver'!$D$11</definedName>
    <definedName name="Driver_Vas">'Driver'!$D$17</definedName>
    <definedName name="Driver_Xmax">'Driver'!$D$23</definedName>
    <definedName name="ExportFile">'Design'!$D$49</definedName>
    <definedName name="grossV">'Design'!$D$32</definedName>
    <definedName name="H">'Design'!$D$13</definedName>
    <definedName name="Hornresp_Driver">'Driver'!$B$48:$B$68</definedName>
    <definedName name="Hornresp_Export">'Hornresp (PH1)'!$E$1:$E$70</definedName>
    <definedName name="Hornresp2_Export">'Hornresp (TH)'!$E$1:$E$70</definedName>
    <definedName name="InternalW">'Design'!$D$21</definedName>
    <definedName name="Mouth_CSA">'Design'!$D$19</definedName>
    <definedName name="netV">'Design'!$D$31</definedName>
    <definedName name="numAms">'Hornresp (PH1)'!$C$46</definedName>
    <definedName name="numAtc">'Hornresp (TH)'!$C$35</definedName>
    <definedName name="numBL">'Hornresp (PH1)'!$C$23</definedName>
    <definedName name="numCms">'Hornresp (PH1)'!$C$24</definedName>
    <definedName name="numDrivers">'Hornresp (PH1)'!$C$29</definedName>
    <definedName name="numKe">'Hornresp (PH1)'!$C$43</definedName>
    <definedName name="numLe">'Hornresp (PH1)'!$C$27</definedName>
    <definedName name="numLe1">'Hornresp (PH1)'!$C$42</definedName>
    <definedName name="numLeb">'Hornresp (PH1)'!$C$41</definedName>
    <definedName name="numMmd">'Hornresp (PH1)'!$C$26</definedName>
    <definedName name="numPmax">'Hornresp (PH1)'!$C$36</definedName>
    <definedName name="numRe">'Hornresp (PH1)'!$C$28</definedName>
    <definedName name="numRe1">'Hornresp (PH1)'!$C$40</definedName>
    <definedName name="numRms">'Hornresp (PH1)'!$C$25</definedName>
    <definedName name="numRms1">'Hornresp (PH1)'!$C$45</definedName>
    <definedName name="numRss">'Hornresp (PH1)'!$C$44</definedName>
    <definedName name="numSd">'Hornresp (PH1)'!$C$22</definedName>
    <definedName name="numVtc">'Hornresp (TH)'!$C$34</definedName>
    <definedName name="numXmax">'Hornresp (PH1)'!$C$37</definedName>
    <definedName name="p">'Design'!$D$40</definedName>
    <definedName name="PanelA">'Design'!$F$35</definedName>
    <definedName name="PanelB">'Design'!$F$36</definedName>
    <definedName name="PanelC">'Design'!$F$37</definedName>
    <definedName name="PanelD">'Design'!$F$38</definedName>
    <definedName name="PanelE">'Design'!$F$39</definedName>
    <definedName name="PanelE_err">'Design'!$G$39</definedName>
    <definedName name="PanelF">'Design'!$F$40</definedName>
    <definedName name="PanelF_err">'Design'!$G$40</definedName>
    <definedName name="PanelG">'Design'!$F$41</definedName>
    <definedName name="PanelG_err">'Design'!$G$41</definedName>
    <definedName name="PanelH">'Design'!$F$42</definedName>
    <definedName name="PanelH_err">'Design'!$G$42</definedName>
    <definedName name="Panels">'Design'!$D$35:$F$43</definedName>
    <definedName name="sim_Ap1">'Design'!$D$69</definedName>
    <definedName name="sim_Atc">'Design'!$D$66</definedName>
    <definedName name="sim_Comment">'Design'!$D$50</definedName>
    <definedName name="sim_Eg">'Design'!$D$23</definedName>
    <definedName name="sim_L12">'Design'!$D$61</definedName>
    <definedName name="sim_L23">'Design'!$D$62</definedName>
    <definedName name="sim_L34">'Design'!$D$63</definedName>
    <definedName name="sim_L45">'Design'!$D$64</definedName>
    <definedName name="sim_L6">'Design'!$D$91</definedName>
    <definedName name="sim_L8">'Design'!$D$93</definedName>
    <definedName name="sim_L9">'Design'!$D$95</definedName>
    <definedName name="sim_Lp">'Design'!$D$70</definedName>
    <definedName name="sim_Lpt">'Design'!$D$62</definedName>
    <definedName name="sim_Lrc">'Design'!$D$68</definedName>
    <definedName name="sim_Rg">'Design'!$D$24</definedName>
    <definedName name="sim_S1">'Design'!$D$53</definedName>
    <definedName name="sim_S2">'Design'!$D$54</definedName>
    <definedName name="sim_S2S">'Design'!$D$55</definedName>
    <definedName name="sim_S3">'Design'!$D$56</definedName>
    <definedName name="sim_S3S">'Design'!$D$57</definedName>
    <definedName name="sim_S4">'Design'!$D$58</definedName>
    <definedName name="sim_S4S">'Design'!$D$59</definedName>
    <definedName name="sim_S5">'Design'!$D$60</definedName>
    <definedName name="sim_S6">'Design'!$D$90</definedName>
    <definedName name="sim_S8">'Design'!$D$92</definedName>
    <definedName name="sim_S9">'Design'!$D$94</definedName>
    <definedName name="sim_Vrc">'Design'!$D$67</definedName>
    <definedName name="sim_Vtc">'Design'!$D$65</definedName>
    <definedName name="W">'Design'!$D$12</definedName>
  </definedNames>
  <calcPr fullCalcOnLoad="1"/>
</workbook>
</file>

<file path=xl/sharedStrings.xml><?xml version="1.0" encoding="utf-8"?>
<sst xmlns="http://schemas.openxmlformats.org/spreadsheetml/2006/main" count="672" uniqueCount="199">
  <si>
    <t>=</t>
  </si>
  <si>
    <t>L</t>
  </si>
  <si>
    <t>cu.ft.</t>
  </si>
  <si>
    <t>A</t>
  </si>
  <si>
    <t>B</t>
  </si>
  <si>
    <t>x</t>
  </si>
  <si>
    <t>y</t>
  </si>
  <si>
    <t>dX</t>
  </si>
  <si>
    <t>dY</t>
  </si>
  <si>
    <t>p</t>
  </si>
  <si>
    <t>Panels</t>
  </si>
  <si>
    <t>#</t>
  </si>
  <si>
    <t>d</t>
  </si>
  <si>
    <t>S1</t>
  </si>
  <si>
    <t>S4</t>
  </si>
  <si>
    <t>l.</t>
  </si>
  <si>
    <t>Vol. (net)</t>
  </si>
  <si>
    <t>Vol. (gross)</t>
  </si>
  <si>
    <t>cm^2</t>
  </si>
  <si>
    <t>l</t>
  </si>
  <si>
    <t>Advanced Centerline</t>
  </si>
  <si>
    <t>Driver</t>
  </si>
  <si>
    <t>cm</t>
  </si>
  <si>
    <t>Frame Width</t>
  </si>
  <si>
    <t>Magnet Width</t>
  </si>
  <si>
    <t>Magnet Height</t>
  </si>
  <si>
    <t>Plot</t>
  </si>
  <si>
    <t>Mounting Width</t>
  </si>
  <si>
    <t>Mounting Depth</t>
  </si>
  <si>
    <t>v</t>
  </si>
  <si>
    <t>Path Calculations</t>
  </si>
  <si>
    <t>dS</t>
  </si>
  <si>
    <t>S2</t>
  </si>
  <si>
    <t>dx</t>
  </si>
  <si>
    <t>dy</t>
  </si>
  <si>
    <t>S</t>
  </si>
  <si>
    <t>Pnl Vol</t>
  </si>
  <si>
    <t>Face (1)</t>
  </si>
  <si>
    <t>S3</t>
  </si>
  <si>
    <t>L34</t>
  </si>
  <si>
    <t>in</t>
  </si>
  <si>
    <t>o</t>
  </si>
  <si>
    <t>Graph Axes</t>
  </si>
  <si>
    <t>Guides</t>
  </si>
  <si>
    <t>Sample points</t>
  </si>
  <si>
    <t>Box Dimensions</t>
  </si>
  <si>
    <t>Driver Dimensions</t>
  </si>
  <si>
    <t>Height</t>
  </si>
  <si>
    <t>Width</t>
  </si>
  <si>
    <t>Depth</t>
  </si>
  <si>
    <t>Cone Volume</t>
  </si>
  <si>
    <t>cm^3</t>
  </si>
  <si>
    <t>I:\Users\Brian.Steele\OneDrive\Hornresp\Import\BOXPLAN.TXT</t>
  </si>
  <si>
    <t>ID</t>
  </si>
  <si>
    <t>Ang</t>
  </si>
  <si>
    <t>Eg</t>
  </si>
  <si>
    <t>Rg</t>
  </si>
  <si>
    <t>F34</t>
  </si>
  <si>
    <t>F45</t>
  </si>
  <si>
    <t>Sd</t>
  </si>
  <si>
    <t>Bl</t>
  </si>
  <si>
    <t>Cms</t>
  </si>
  <si>
    <t>Rms</t>
  </si>
  <si>
    <t>Mmd</t>
  </si>
  <si>
    <t>Le</t>
  </si>
  <si>
    <t>Re</t>
  </si>
  <si>
    <t>Vrc</t>
  </si>
  <si>
    <t>Lrc</t>
  </si>
  <si>
    <t>Vtc</t>
  </si>
  <si>
    <t>Atc</t>
  </si>
  <si>
    <t>Pmax</t>
  </si>
  <si>
    <t>Xmax</t>
  </si>
  <si>
    <t>Comment</t>
  </si>
  <si>
    <t>L45</t>
  </si>
  <si>
    <t>Panel D (sides)</t>
  </si>
  <si>
    <t>Panel E (bottom)</t>
  </si>
  <si>
    <t>Panel G (2nd inside)</t>
  </si>
  <si>
    <t>Panel H (3rd inside)</t>
  </si>
  <si>
    <t>driver offset (y)</t>
  </si>
  <si>
    <t>Driver Information</t>
  </si>
  <si>
    <t>Name</t>
  </si>
  <si>
    <t>Database Location</t>
  </si>
  <si>
    <t>I:\Users\Brian.Steele\OneDrive\Hornresp\Drivers\</t>
  </si>
  <si>
    <t>Size</t>
  </si>
  <si>
    <t>Est. Nominal Size</t>
  </si>
  <si>
    <t>Driver Parameters</t>
  </si>
  <si>
    <t>Ohms</t>
  </si>
  <si>
    <t>Fs</t>
  </si>
  <si>
    <t>Hz</t>
  </si>
  <si>
    <t>Vas</t>
  </si>
  <si>
    <t>Qes</t>
  </si>
  <si>
    <t>Qms</t>
  </si>
  <si>
    <t>Qts</t>
  </si>
  <si>
    <t>mH</t>
  </si>
  <si>
    <t>W</t>
  </si>
  <si>
    <t>mm</t>
  </si>
  <si>
    <t>Semi-Inductance</t>
  </si>
  <si>
    <t>Re'</t>
  </si>
  <si>
    <t>Leb</t>
  </si>
  <si>
    <t>Ke</t>
  </si>
  <si>
    <t>sH</t>
  </si>
  <si>
    <t>Rss</t>
  </si>
  <si>
    <t>in.</t>
  </si>
  <si>
    <t>Merit Calculations</t>
  </si>
  <si>
    <t>BL^2/Re</t>
  </si>
  <si>
    <t>FOM1</t>
  </si>
  <si>
    <t>FOM2</t>
  </si>
  <si>
    <t>HornResp</t>
  </si>
  <si>
    <t>LossyLe=0</t>
  </si>
  <si>
    <t>Additional Data</t>
  </si>
  <si>
    <t>BOXPLAN</t>
  </si>
  <si>
    <t>2.0 x Pi</t>
  </si>
  <si>
    <t>Path</t>
  </si>
  <si>
    <t>Mass</t>
  </si>
  <si>
    <t>Ams</t>
  </si>
  <si>
    <t>Fr1</t>
  </si>
  <si>
    <t>Fr2</t>
  </si>
  <si>
    <t>Fr3</t>
  </si>
  <si>
    <t>Fr4</t>
  </si>
  <si>
    <t>Tal1</t>
  </si>
  <si>
    <t>Tal2</t>
  </si>
  <si>
    <t>Tal3</t>
  </si>
  <si>
    <t>Tal4</t>
  </si>
  <si>
    <t>~~~~~~~~~~~~~~~~~~~~~~~~~~~~~~~~~~~~~~~~~~~~~~~~~~~~~~~~~~~~~~~~~~~~~~~~~~~~~~~~~~~~</t>
  </si>
  <si>
    <t>FILTER</t>
  </si>
  <si>
    <t xml:space="preserve">      0   0.01    0.0     -1      0   0.01    0.0     -1      0   0.01    0.0     -1</t>
  </si>
  <si>
    <t xml:space="preserve">  100   25   20  181</t>
  </si>
  <si>
    <t xml:space="preserve">  40.50.50.5</t>
  </si>
  <si>
    <t>0.50.50.50.5</t>
  </si>
  <si>
    <t>SSSS</t>
  </si>
  <si>
    <t>0111</t>
  </si>
  <si>
    <t>1112</t>
  </si>
  <si>
    <t>0044</t>
  </si>
  <si>
    <t>1111</t>
  </si>
  <si>
    <t>112</t>
  </si>
  <si>
    <t>000</t>
  </si>
  <si>
    <t>Source Voltage</t>
  </si>
  <si>
    <t>V</t>
  </si>
  <si>
    <t>Series Impedance</t>
  </si>
  <si>
    <t>Power Level</t>
  </si>
  <si>
    <t>Watts</t>
  </si>
  <si>
    <t>Export Filename</t>
  </si>
  <si>
    <t>Internal Width</t>
  </si>
  <si>
    <t>Box Panels</t>
  </si>
  <si>
    <t>HornResp Params (TH)</t>
  </si>
  <si>
    <t>S5</t>
  </si>
  <si>
    <t>L12</t>
  </si>
  <si>
    <t>L23</t>
  </si>
  <si>
    <t>TH</t>
  </si>
  <si>
    <t>Fta</t>
  </si>
  <si>
    <t>Par</t>
  </si>
  <si>
    <t>F12</t>
  </si>
  <si>
    <t>S2S</t>
  </si>
  <si>
    <t>F23</t>
  </si>
  <si>
    <t>S3S</t>
  </si>
  <si>
    <t>Driver #1</t>
  </si>
  <si>
    <t>Driver #2</t>
  </si>
  <si>
    <t>System Impedance</t>
  </si>
  <si>
    <t>Driver Arrangement</t>
  </si>
  <si>
    <t>1</t>
  </si>
  <si>
    <t>2S</t>
  </si>
  <si>
    <t>2P</t>
  </si>
  <si>
    <t>BOXPLAN-PARAA</t>
  </si>
  <si>
    <t>Panel I (4th inside)</t>
  </si>
  <si>
    <t>CSA</t>
  </si>
  <si>
    <t>S4S</t>
  </si>
  <si>
    <t>-</t>
  </si>
  <si>
    <t>Panel F (driver baffle)</t>
  </si>
  <si>
    <t>Driver Cutout (s)</t>
  </si>
  <si>
    <t>Horn Volume</t>
  </si>
  <si>
    <t>Total Path Length</t>
  </si>
  <si>
    <t>Volume variance</t>
  </si>
  <si>
    <t>Ap</t>
  </si>
  <si>
    <t>Lpt</t>
  </si>
  <si>
    <t>Ap/S1</t>
  </si>
  <si>
    <t>Ap1/S1</t>
  </si>
  <si>
    <t>S1 Width</t>
  </si>
  <si>
    <t>S4/S1 Ratio</t>
  </si>
  <si>
    <t>S4 Width</t>
  </si>
  <si>
    <t>Vent Configuration</t>
  </si>
  <si>
    <t>Vent Config</t>
  </si>
  <si>
    <t>HornResp Params (PH1)</t>
  </si>
  <si>
    <t>S6</t>
  </si>
  <si>
    <t>Con (6)</t>
  </si>
  <si>
    <t>S8</t>
  </si>
  <si>
    <t>Con (8)</t>
  </si>
  <si>
    <t>S9</t>
  </si>
  <si>
    <t>Con (9)</t>
  </si>
  <si>
    <t>Volume</t>
  </si>
  <si>
    <t>%</t>
  </si>
  <si>
    <t>Volume Calculations</t>
  </si>
  <si>
    <t>PH1</t>
  </si>
  <si>
    <t>Con</t>
  </si>
  <si>
    <t>Panel A (front)</t>
  </si>
  <si>
    <t>Panel B (back)</t>
  </si>
  <si>
    <t>Panel C (top)</t>
  </si>
  <si>
    <t>Auto-Export</t>
  </si>
  <si>
    <t>Eminence Kappalite 3012LF-4</t>
  </si>
  <si>
    <t>0.8 BETA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</si>
</sst>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EC$&quot;#,##0;\-&quot;EC$&quot;#,##0"/>
    <numFmt numFmtId="165" formatCode="&quot;EC$&quot;#,##0;[Red]\-&quot;EC$&quot;#,##0"/>
    <numFmt numFmtId="166" formatCode="&quot;EC$&quot;#,##0.00;\-&quot;EC$&quot;#,##0.00"/>
    <numFmt numFmtId="167" formatCode="&quot;EC$&quot;#,##0.00;[Red]\-&quot;EC$&quot;#,##0.00"/>
    <numFmt numFmtId="168" formatCode="_-&quot;EC$&quot;* #,##0_-;\-&quot;EC$&quot;* #,##0_-;_-&quot;EC$&quot;* &quot;-&quot;_-;_-@_-"/>
    <numFmt numFmtId="169" formatCode="_-&quot;EC$&quot;* #,##0.00_-;\-&quot;EC$&quot;* #,##0.00_-;_-&quot;EC$&quot;* &quot;-&quot;??_-;_-@_-"/>
    <numFmt numFmtId="170" formatCode="0.0"/>
    <numFmt numFmtId="171" formatCode="0.000"/>
    <numFmt numFmtId="172" formatCode="0.00000"/>
    <numFmt numFmtId="173" formatCode="0.0000"/>
    <numFmt numFmtId="174" formatCode="0.0000000"/>
    <numFmt numFmtId="175" formatCode="0.00000000"/>
    <numFmt numFmtId="176" formatCode="0.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33CC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b/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0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1" fontId="2" fillId="33" borderId="14" xfId="0" applyNumberFormat="1" applyFont="1" applyFill="1" applyBorder="1" applyAlignment="1">
      <alignment/>
    </xf>
    <xf numFmtId="17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70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70" fontId="2" fillId="34" borderId="0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170" fontId="2" fillId="34" borderId="13" xfId="0" applyNumberFormat="1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0" fontId="2" fillId="33" borderId="15" xfId="0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0" fontId="2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70" fontId="2" fillId="33" borderId="16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70" fontId="2" fillId="33" borderId="12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 horizontal="center"/>
    </xf>
    <xf numFmtId="170" fontId="2" fillId="33" borderId="14" xfId="0" applyNumberFormat="1" applyFont="1" applyFill="1" applyBorder="1" applyAlignment="1">
      <alignment/>
    </xf>
    <xf numFmtId="17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5" borderId="18" xfId="0" applyFont="1" applyFill="1" applyBorder="1" applyAlignment="1">
      <alignment/>
    </xf>
    <xf numFmtId="170" fontId="3" fillId="0" borderId="19" xfId="0" applyNumberFormat="1" applyFont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170" fontId="3" fillId="0" borderId="23" xfId="0" applyNumberFormat="1" applyFont="1" applyBorder="1" applyAlignment="1">
      <alignment/>
    </xf>
    <xf numFmtId="0" fontId="3" fillId="36" borderId="24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170" fontId="3" fillId="0" borderId="27" xfId="0" applyNumberFormat="1" applyFont="1" applyBorder="1" applyAlignment="1">
      <alignment/>
    </xf>
    <xf numFmtId="170" fontId="4" fillId="0" borderId="28" xfId="0" applyNumberFormat="1" applyFont="1" applyBorder="1" applyAlignment="1" applyProtection="1">
      <alignment/>
      <protection locked="0"/>
    </xf>
    <xf numFmtId="170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170" fontId="2" fillId="0" borderId="27" xfId="0" applyNumberFormat="1" applyFont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170" fontId="3" fillId="6" borderId="28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2" fontId="3" fillId="37" borderId="21" xfId="0" applyNumberFormat="1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2" fontId="3" fillId="37" borderId="0" xfId="0" applyNumberFormat="1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25" xfId="0" applyFont="1" applyFill="1" applyBorder="1" applyAlignment="1">
      <alignment/>
    </xf>
    <xf numFmtId="170" fontId="46" fillId="0" borderId="31" xfId="0" applyNumberFormat="1" applyFont="1" applyFill="1" applyBorder="1" applyAlignment="1" applyProtection="1">
      <alignment horizontal="center"/>
      <protection locked="0"/>
    </xf>
    <xf numFmtId="170" fontId="3" fillId="37" borderId="0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170" fontId="2" fillId="37" borderId="0" xfId="0" applyNumberFormat="1" applyFont="1" applyFill="1" applyBorder="1" applyAlignment="1">
      <alignment/>
    </xf>
    <xf numFmtId="170" fontId="2" fillId="37" borderId="0" xfId="0" applyNumberFormat="1" applyFont="1" applyFill="1" applyBorder="1" applyAlignment="1">
      <alignment horizontal="center"/>
    </xf>
    <xf numFmtId="0" fontId="3" fillId="37" borderId="26" xfId="0" applyFont="1" applyFill="1" applyBorder="1" applyAlignment="1">
      <alignment/>
    </xf>
    <xf numFmtId="0" fontId="2" fillId="37" borderId="29" xfId="0" applyFont="1" applyFill="1" applyBorder="1" applyAlignment="1">
      <alignment/>
    </xf>
    <xf numFmtId="170" fontId="3" fillId="37" borderId="29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/>
    </xf>
    <xf numFmtId="170" fontId="3" fillId="37" borderId="29" xfId="0" applyNumberFormat="1" applyFont="1" applyFill="1" applyBorder="1" applyAlignment="1">
      <alignment/>
    </xf>
    <xf numFmtId="0" fontId="2" fillId="37" borderId="30" xfId="0" applyFont="1" applyFill="1" applyBorder="1" applyAlignment="1">
      <alignment/>
    </xf>
    <xf numFmtId="170" fontId="47" fillId="0" borderId="28" xfId="0" applyNumberFormat="1" applyFont="1" applyBorder="1" applyAlignment="1" applyProtection="1">
      <alignment/>
      <protection locked="0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7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36" borderId="23" xfId="0" applyFont="1" applyFill="1" applyBorder="1" applyAlignment="1">
      <alignment horizontal="center"/>
    </xf>
    <xf numFmtId="170" fontId="4" fillId="0" borderId="22" xfId="0" applyNumberFormat="1" applyFont="1" applyBorder="1" applyAlignment="1" applyProtection="1">
      <alignment/>
      <protection locked="0"/>
    </xf>
    <xf numFmtId="17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6" borderId="18" xfId="0" applyFont="1" applyFill="1" applyBorder="1" applyAlignment="1">
      <alignment/>
    </xf>
    <xf numFmtId="0" fontId="3" fillId="36" borderId="27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6" borderId="19" xfId="0" applyFont="1" applyFill="1" applyBorder="1" applyAlignment="1">
      <alignment/>
    </xf>
    <xf numFmtId="170" fontId="3" fillId="0" borderId="0" xfId="0" applyNumberFormat="1" applyFont="1" applyAlignment="1" quotePrefix="1">
      <alignment/>
    </xf>
    <xf numFmtId="0" fontId="48" fillId="0" borderId="0" xfId="0" applyFont="1" applyAlignment="1">
      <alignment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2" fontId="47" fillId="0" borderId="19" xfId="0" applyNumberFormat="1" applyFont="1" applyBorder="1" applyAlignment="1" applyProtection="1" quotePrefix="1">
      <alignment/>
      <protection locked="0"/>
    </xf>
    <xf numFmtId="0" fontId="47" fillId="0" borderId="19" xfId="0" applyFont="1" applyBorder="1" applyAlignment="1" applyProtection="1" quotePrefix="1">
      <alignment/>
      <protection locked="0"/>
    </xf>
    <xf numFmtId="2" fontId="4" fillId="0" borderId="19" xfId="0" applyNumberFormat="1" applyFont="1" applyBorder="1" applyAlignment="1">
      <alignment/>
    </xf>
    <xf numFmtId="2" fontId="3" fillId="38" borderId="28" xfId="0" applyNumberFormat="1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170" fontId="47" fillId="0" borderId="19" xfId="0" applyNumberFormat="1" applyFont="1" applyBorder="1" applyAlignment="1" applyProtection="1" quotePrefix="1">
      <alignment/>
      <protection locked="0"/>
    </xf>
    <xf numFmtId="170" fontId="4" fillId="0" borderId="28" xfId="0" applyNumberFormat="1" applyFont="1" applyBorder="1" applyAlignment="1" applyProtection="1">
      <alignment/>
      <protection locked="0"/>
    </xf>
    <xf numFmtId="170" fontId="3" fillId="0" borderId="32" xfId="0" applyNumberFormat="1" applyFont="1" applyBorder="1" applyAlignment="1">
      <alignment/>
    </xf>
    <xf numFmtId="170" fontId="4" fillId="0" borderId="30" xfId="0" applyNumberFormat="1" applyFont="1" applyBorder="1" applyAlignment="1" applyProtection="1">
      <alignment/>
      <protection locked="0"/>
    </xf>
    <xf numFmtId="170" fontId="3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9" fillId="0" borderId="0" xfId="0" applyFont="1" applyAlignment="1">
      <alignment/>
    </xf>
    <xf numFmtId="0" fontId="48" fillId="37" borderId="15" xfId="0" applyFont="1" applyFill="1" applyBorder="1" applyAlignment="1">
      <alignment/>
    </xf>
    <xf numFmtId="0" fontId="48" fillId="37" borderId="10" xfId="0" applyFont="1" applyFill="1" applyBorder="1" applyAlignment="1">
      <alignment/>
    </xf>
    <xf numFmtId="0" fontId="48" fillId="37" borderId="11" xfId="0" applyFont="1" applyFill="1" applyBorder="1" applyAlignment="1">
      <alignment/>
    </xf>
    <xf numFmtId="0" fontId="48" fillId="37" borderId="16" xfId="0" applyFont="1" applyFill="1" applyBorder="1" applyAlignment="1">
      <alignment/>
    </xf>
    <xf numFmtId="0" fontId="48" fillId="37" borderId="0" xfId="0" applyFont="1" applyFill="1" applyAlignment="1">
      <alignment/>
    </xf>
    <xf numFmtId="0" fontId="48" fillId="37" borderId="12" xfId="0" applyFont="1" applyFill="1" applyBorder="1" applyAlignment="1">
      <alignment/>
    </xf>
    <xf numFmtId="0" fontId="48" fillId="37" borderId="17" xfId="0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0" fontId="48" fillId="7" borderId="15" xfId="0" applyFont="1" applyFill="1" applyBorder="1" applyAlignment="1">
      <alignment/>
    </xf>
    <xf numFmtId="0" fontId="48" fillId="7" borderId="10" xfId="0" applyFont="1" applyFill="1" applyBorder="1" applyAlignment="1">
      <alignment/>
    </xf>
    <xf numFmtId="0" fontId="48" fillId="7" borderId="11" xfId="0" applyFont="1" applyFill="1" applyBorder="1" applyAlignment="1">
      <alignment/>
    </xf>
    <xf numFmtId="0" fontId="48" fillId="7" borderId="16" xfId="0" applyFont="1" applyFill="1" applyBorder="1" applyAlignment="1">
      <alignment/>
    </xf>
    <xf numFmtId="0" fontId="48" fillId="7" borderId="0" xfId="0" applyFont="1" applyFill="1" applyAlignment="1">
      <alignment/>
    </xf>
    <xf numFmtId="0" fontId="48" fillId="7" borderId="12" xfId="0" applyFont="1" applyFill="1" applyBorder="1" applyAlignment="1">
      <alignment/>
    </xf>
    <xf numFmtId="0" fontId="48" fillId="7" borderId="17" xfId="0" applyFont="1" applyFill="1" applyBorder="1" applyAlignment="1">
      <alignment/>
    </xf>
    <xf numFmtId="0" fontId="48" fillId="7" borderId="13" xfId="0" applyFont="1" applyFill="1" applyBorder="1" applyAlignment="1">
      <alignment/>
    </xf>
    <xf numFmtId="0" fontId="48" fillId="7" borderId="14" xfId="0" applyFont="1" applyFill="1" applyBorder="1" applyAlignment="1">
      <alignment/>
    </xf>
    <xf numFmtId="0" fontId="50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0" fontId="2" fillId="37" borderId="33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2" fontId="2" fillId="37" borderId="33" xfId="0" applyNumberFormat="1" applyFont="1" applyFill="1" applyBorder="1" applyAlignment="1" quotePrefix="1">
      <alignment horizontal="right"/>
    </xf>
    <xf numFmtId="170" fontId="2" fillId="0" borderId="31" xfId="0" applyNumberFormat="1" applyFont="1" applyBorder="1" applyAlignment="1">
      <alignment horizontal="center"/>
    </xf>
    <xf numFmtId="0" fontId="48" fillId="0" borderId="34" xfId="0" applyFont="1" applyBorder="1" applyAlignment="1">
      <alignment/>
    </xf>
    <xf numFmtId="0" fontId="48" fillId="0" borderId="35" xfId="0" applyFont="1" applyBorder="1" applyAlignment="1">
      <alignment/>
    </xf>
    <xf numFmtId="0" fontId="2" fillId="37" borderId="33" xfId="0" applyFont="1" applyFill="1" applyBorder="1" applyAlignment="1" quotePrefix="1">
      <alignment/>
    </xf>
    <xf numFmtId="170" fontId="2" fillId="37" borderId="33" xfId="0" applyNumberFormat="1" applyFont="1" applyFill="1" applyBorder="1" applyAlignment="1" quotePrefix="1">
      <alignment/>
    </xf>
    <xf numFmtId="1" fontId="2" fillId="37" borderId="33" xfId="0" applyNumberFormat="1" applyFont="1" applyFill="1" applyBorder="1" applyAlignment="1" quotePrefix="1">
      <alignment/>
    </xf>
    <xf numFmtId="2" fontId="2" fillId="37" borderId="33" xfId="0" applyNumberFormat="1" applyFont="1" applyFill="1" applyBorder="1" applyAlignment="1" quotePrefix="1">
      <alignment/>
    </xf>
    <xf numFmtId="0" fontId="48" fillId="37" borderId="31" xfId="0" applyFont="1" applyFill="1" applyBorder="1" applyAlignment="1">
      <alignment/>
    </xf>
    <xf numFmtId="0" fontId="48" fillId="0" borderId="36" xfId="0" applyFont="1" applyBorder="1" applyAlignment="1">
      <alignment/>
    </xf>
    <xf numFmtId="170" fontId="3" fillId="35" borderId="19" xfId="0" applyNumberFormat="1" applyFont="1" applyFill="1" applyBorder="1" applyAlignment="1">
      <alignment/>
    </xf>
    <xf numFmtId="170" fontId="3" fillId="35" borderId="27" xfId="0" applyNumberFormat="1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170" fontId="3" fillId="35" borderId="28" xfId="0" applyNumberFormat="1" applyFont="1" applyFill="1" applyBorder="1" applyAlignment="1">
      <alignment/>
    </xf>
    <xf numFmtId="0" fontId="47" fillId="0" borderId="19" xfId="0" applyFont="1" applyBorder="1" applyAlignment="1" applyProtection="1" quotePrefix="1">
      <alignment horizontal="right"/>
      <protection locked="0"/>
    </xf>
    <xf numFmtId="170" fontId="51" fillId="37" borderId="0" xfId="0" applyNumberFormat="1" applyFont="1" applyFill="1" applyBorder="1" applyAlignment="1">
      <alignment horizontal="center"/>
    </xf>
    <xf numFmtId="170" fontId="3" fillId="6" borderId="28" xfId="0" applyNumberFormat="1" applyFont="1" applyFill="1" applyBorder="1" applyAlignment="1" applyProtection="1">
      <alignment/>
      <protection/>
    </xf>
    <xf numFmtId="0" fontId="3" fillId="6" borderId="19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0" fontId="3" fillId="36" borderId="32" xfId="0" applyFont="1" applyFill="1" applyBorder="1" applyAlignment="1">
      <alignment horizontal="center"/>
    </xf>
    <xf numFmtId="170" fontId="2" fillId="33" borderId="31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170" fontId="2" fillId="34" borderId="31" xfId="0" applyNumberFormat="1" applyFont="1" applyFill="1" applyBorder="1" applyAlignment="1">
      <alignment/>
    </xf>
    <xf numFmtId="0" fontId="2" fillId="34" borderId="31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0" fontId="3" fillId="39" borderId="15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170" fontId="2" fillId="39" borderId="10" xfId="0" applyNumberFormat="1" applyFont="1" applyFill="1" applyBorder="1" applyAlignment="1">
      <alignment/>
    </xf>
    <xf numFmtId="170" fontId="2" fillId="39" borderId="11" xfId="0" applyNumberFormat="1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170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170" fontId="2" fillId="39" borderId="0" xfId="0" applyNumberFormat="1" applyFont="1" applyFill="1" applyBorder="1" applyAlignment="1">
      <alignment/>
    </xf>
    <xf numFmtId="170" fontId="2" fillId="39" borderId="12" xfId="0" applyNumberFormat="1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170" fontId="2" fillId="39" borderId="13" xfId="0" applyNumberFormat="1" applyFont="1" applyFill="1" applyBorder="1" applyAlignment="1">
      <alignment horizontal="center"/>
    </xf>
    <xf numFmtId="170" fontId="2" fillId="39" borderId="13" xfId="0" applyNumberFormat="1" applyFont="1" applyFill="1" applyBorder="1" applyAlignment="1">
      <alignment/>
    </xf>
    <xf numFmtId="0" fontId="2" fillId="39" borderId="14" xfId="0" applyFont="1" applyFill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3" fillId="40" borderId="15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170" fontId="2" fillId="40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170" fontId="2" fillId="40" borderId="10" xfId="0" applyNumberFormat="1" applyFont="1" applyFill="1" applyBorder="1" applyAlignment="1">
      <alignment/>
    </xf>
    <xf numFmtId="170" fontId="2" fillId="40" borderId="11" xfId="0" applyNumberFormat="1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170" fontId="2" fillId="40" borderId="0" xfId="0" applyNumberFormat="1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170" fontId="2" fillId="40" borderId="0" xfId="0" applyNumberFormat="1" applyFont="1" applyFill="1" applyBorder="1" applyAlignment="1">
      <alignment/>
    </xf>
    <xf numFmtId="170" fontId="2" fillId="40" borderId="12" xfId="0" applyNumberFormat="1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170" fontId="2" fillId="40" borderId="13" xfId="0" applyNumberFormat="1" applyFont="1" applyFill="1" applyBorder="1" applyAlignment="1">
      <alignment horizontal="center"/>
    </xf>
    <xf numFmtId="170" fontId="2" fillId="40" borderId="13" xfId="0" applyNumberFormat="1" applyFont="1" applyFill="1" applyBorder="1" applyAlignment="1">
      <alignment/>
    </xf>
    <xf numFmtId="170" fontId="2" fillId="40" borderId="14" xfId="0" applyNumberFormat="1" applyFont="1" applyFill="1" applyBorder="1" applyAlignment="1">
      <alignment/>
    </xf>
    <xf numFmtId="0" fontId="3" fillId="41" borderId="15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170" fontId="2" fillId="41" borderId="10" xfId="0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170" fontId="2" fillId="41" borderId="10" xfId="0" applyNumberFormat="1" applyFont="1" applyFill="1" applyBorder="1" applyAlignment="1">
      <alignment/>
    </xf>
    <xf numFmtId="170" fontId="2" fillId="41" borderId="11" xfId="0" applyNumberFormat="1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170" fontId="2" fillId="41" borderId="0" xfId="0" applyNumberFormat="1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170" fontId="2" fillId="41" borderId="0" xfId="0" applyNumberFormat="1" applyFont="1" applyFill="1" applyBorder="1" applyAlignment="1">
      <alignment/>
    </xf>
    <xf numFmtId="170" fontId="2" fillId="41" borderId="12" xfId="0" applyNumberFormat="1" applyFont="1" applyFill="1" applyBorder="1" applyAlignment="1">
      <alignment/>
    </xf>
    <xf numFmtId="0" fontId="2" fillId="41" borderId="17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170" fontId="2" fillId="41" borderId="13" xfId="0" applyNumberFormat="1" applyFont="1" applyFill="1" applyBorder="1" applyAlignment="1">
      <alignment horizontal="center"/>
    </xf>
    <xf numFmtId="170" fontId="2" fillId="41" borderId="13" xfId="0" applyNumberFormat="1" applyFont="1" applyFill="1" applyBorder="1" applyAlignment="1">
      <alignment/>
    </xf>
    <xf numFmtId="170" fontId="2" fillId="41" borderId="13" xfId="0" applyNumberFormat="1" applyFont="1" applyFill="1" applyBorder="1" applyAlignment="1">
      <alignment/>
    </xf>
    <xf numFmtId="170" fontId="2" fillId="41" borderId="14" xfId="0" applyNumberFormat="1" applyFont="1" applyFill="1" applyBorder="1" applyAlignment="1">
      <alignment/>
    </xf>
    <xf numFmtId="170" fontId="3" fillId="37" borderId="21" xfId="0" applyNumberFormat="1" applyFont="1" applyFill="1" applyBorder="1" applyAlignment="1">
      <alignment/>
    </xf>
    <xf numFmtId="170" fontId="3" fillId="37" borderId="0" xfId="0" applyNumberFormat="1" applyFont="1" applyFill="1" applyBorder="1" applyAlignment="1">
      <alignment/>
    </xf>
    <xf numFmtId="170" fontId="2" fillId="33" borderId="31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170" fontId="3" fillId="6" borderId="28" xfId="0" applyNumberFormat="1" applyFont="1" applyFill="1" applyBorder="1" applyAlignment="1" applyProtection="1">
      <alignment/>
      <protection/>
    </xf>
    <xf numFmtId="0" fontId="49" fillId="42" borderId="19" xfId="0" applyFont="1" applyFill="1" applyBorder="1" applyAlignment="1" quotePrefix="1">
      <alignment horizontal="right"/>
    </xf>
    <xf numFmtId="0" fontId="2" fillId="37" borderId="33" xfId="0" applyFont="1" applyFill="1" applyBorder="1" applyAlignment="1" quotePrefix="1">
      <alignment horizontal="right"/>
    </xf>
    <xf numFmtId="0" fontId="2" fillId="0" borderId="31" xfId="0" applyFont="1" applyBorder="1" applyAlignment="1">
      <alignment/>
    </xf>
    <xf numFmtId="170" fontId="2" fillId="0" borderId="3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36" borderId="24" xfId="0" applyFont="1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36" borderId="26" xfId="0" applyFont="1" applyFill="1" applyBorder="1" applyAlignment="1">
      <alignment/>
    </xf>
    <xf numFmtId="0" fontId="2" fillId="40" borderId="1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70" fontId="2" fillId="33" borderId="37" xfId="0" applyNumberFormat="1" applyFont="1" applyFill="1" applyBorder="1" applyAlignment="1">
      <alignment/>
    </xf>
    <xf numFmtId="170" fontId="2" fillId="33" borderId="38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170" fontId="2" fillId="33" borderId="21" xfId="0" applyNumberFormat="1" applyFont="1" applyFill="1" applyBorder="1" applyAlignment="1">
      <alignment/>
    </xf>
    <xf numFmtId="1" fontId="2" fillId="33" borderId="21" xfId="0" applyNumberFormat="1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170" fontId="2" fillId="33" borderId="39" xfId="0" applyNumberFormat="1" applyFont="1" applyFill="1" applyBorder="1" applyAlignment="1">
      <alignment/>
    </xf>
    <xf numFmtId="1" fontId="2" fillId="33" borderId="25" xfId="0" applyNumberFormat="1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1" fontId="2" fillId="33" borderId="40" xfId="0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70" fontId="2" fillId="33" borderId="29" xfId="0" applyNumberFormat="1" applyFont="1" applyFill="1" applyBorder="1" applyAlignment="1">
      <alignment horizontal="center"/>
    </xf>
    <xf numFmtId="170" fontId="2" fillId="33" borderId="29" xfId="0" applyNumberFormat="1" applyFont="1" applyFill="1" applyBorder="1" applyAlignment="1">
      <alignment/>
    </xf>
    <xf numFmtId="1" fontId="2" fillId="33" borderId="29" xfId="0" applyNumberFormat="1" applyFont="1" applyFill="1" applyBorder="1" applyAlignment="1">
      <alignment/>
    </xf>
    <xf numFmtId="1" fontId="2" fillId="33" borderId="30" xfId="0" applyNumberFormat="1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1" fontId="2" fillId="33" borderId="43" xfId="0" applyNumberFormat="1" applyFont="1" applyFill="1" applyBorder="1" applyAlignment="1">
      <alignment/>
    </xf>
    <xf numFmtId="170" fontId="2" fillId="6" borderId="31" xfId="0" applyNumberFormat="1" applyFont="1" applyFill="1" applyBorder="1" applyAlignment="1">
      <alignment/>
    </xf>
    <xf numFmtId="0" fontId="2" fillId="6" borderId="10" xfId="0" applyFont="1" applyFill="1" applyBorder="1" applyAlignment="1">
      <alignment/>
    </xf>
    <xf numFmtId="170" fontId="2" fillId="6" borderId="10" xfId="0" applyNumberFormat="1" applyFont="1" applyFill="1" applyBorder="1" applyAlignment="1">
      <alignment/>
    </xf>
    <xf numFmtId="1" fontId="2" fillId="6" borderId="10" xfId="0" applyNumberFormat="1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170" fontId="2" fillId="6" borderId="0" xfId="0" applyNumberFormat="1" applyFont="1" applyFill="1" applyBorder="1" applyAlignment="1">
      <alignment/>
    </xf>
    <xf numFmtId="1" fontId="2" fillId="6" borderId="0" xfId="0" applyNumberFormat="1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31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170" fontId="2" fillId="6" borderId="13" xfId="0" applyNumberFormat="1" applyFont="1" applyFill="1" applyBorder="1" applyAlignment="1">
      <alignment horizontal="center"/>
    </xf>
    <xf numFmtId="170" fontId="2" fillId="6" borderId="13" xfId="0" applyNumberFormat="1" applyFont="1" applyFill="1" applyBorder="1" applyAlignment="1">
      <alignment/>
    </xf>
    <xf numFmtId="1" fontId="2" fillId="6" borderId="13" xfId="0" applyNumberFormat="1" applyFont="1" applyFill="1" applyBorder="1" applyAlignment="1">
      <alignment/>
    </xf>
    <xf numFmtId="1" fontId="2" fillId="6" borderId="12" xfId="0" applyNumberFormat="1" applyFont="1" applyFill="1" applyBorder="1" applyAlignment="1">
      <alignment/>
    </xf>
    <xf numFmtId="1" fontId="2" fillId="6" borderId="11" xfId="0" applyNumberFormat="1" applyFont="1" applyFill="1" applyBorder="1" applyAlignment="1">
      <alignment/>
    </xf>
    <xf numFmtId="1" fontId="2" fillId="6" borderId="14" xfId="0" applyNumberFormat="1" applyFont="1" applyFill="1" applyBorder="1" applyAlignment="1">
      <alignment/>
    </xf>
    <xf numFmtId="0" fontId="2" fillId="37" borderId="24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48" fillId="6" borderId="19" xfId="0" applyFont="1" applyFill="1" applyBorder="1" applyAlignment="1">
      <alignment/>
    </xf>
    <xf numFmtId="0" fontId="49" fillId="6" borderId="18" xfId="0" applyFont="1" applyFill="1" applyBorder="1" applyAlignment="1">
      <alignment/>
    </xf>
    <xf numFmtId="170" fontId="3" fillId="6" borderId="28" xfId="0" applyNumberFormat="1" applyFont="1" applyFill="1" applyBorder="1" applyAlignment="1">
      <alignment/>
    </xf>
    <xf numFmtId="0" fontId="49" fillId="6" borderId="19" xfId="0" applyFont="1" applyFill="1" applyBorder="1" applyAlignment="1" quotePrefix="1">
      <alignment horizontal="right"/>
    </xf>
    <xf numFmtId="0" fontId="48" fillId="43" borderId="19" xfId="0" applyFont="1" applyFill="1" applyBorder="1" applyAlignment="1">
      <alignment/>
    </xf>
    <xf numFmtId="0" fontId="49" fillId="35" borderId="18" xfId="0" applyFont="1" applyFill="1" applyBorder="1" applyAlignment="1">
      <alignment/>
    </xf>
    <xf numFmtId="0" fontId="48" fillId="35" borderId="19" xfId="0" applyFont="1" applyFill="1" applyBorder="1" applyAlignment="1">
      <alignment/>
    </xf>
    <xf numFmtId="9" fontId="49" fillId="35" borderId="19" xfId="57" applyFont="1" applyFill="1" applyBorder="1" applyAlignment="1" quotePrefix="1">
      <alignment horizontal="right"/>
    </xf>
    <xf numFmtId="170" fontId="3" fillId="35" borderId="19" xfId="0" applyNumberFormat="1" applyFont="1" applyFill="1" applyBorder="1" applyAlignment="1" applyProtection="1" quotePrefix="1">
      <alignment horizontal="right"/>
      <protection/>
    </xf>
    <xf numFmtId="0" fontId="2" fillId="33" borderId="36" xfId="0" applyFont="1" applyFill="1" applyBorder="1" applyAlignment="1">
      <alignment/>
    </xf>
    <xf numFmtId="170" fontId="3" fillId="35" borderId="27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35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/>
    </xf>
    <xf numFmtId="170" fontId="3" fillId="6" borderId="19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9" fontId="3" fillId="6" borderId="28" xfId="57" applyFont="1" applyFill="1" applyBorder="1" applyAlignment="1" applyProtection="1">
      <alignment/>
      <protection/>
    </xf>
    <xf numFmtId="0" fontId="3" fillId="36" borderId="19" xfId="0" applyFont="1" applyFill="1" applyBorder="1" applyAlignment="1">
      <alignment horizontal="center"/>
    </xf>
    <xf numFmtId="0" fontId="0" fillId="32" borderId="44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3" fillId="32" borderId="44" xfId="0" applyFont="1" applyFill="1" applyBorder="1" applyAlignment="1">
      <alignment/>
    </xf>
    <xf numFmtId="0" fontId="52" fillId="0" borderId="31" xfId="0" applyFont="1" applyBorder="1" applyAlignment="1" quotePrefix="1">
      <alignment/>
    </xf>
    <xf numFmtId="0" fontId="52" fillId="0" borderId="31" xfId="0" applyFont="1" applyBorder="1" applyAlignment="1">
      <alignment/>
    </xf>
    <xf numFmtId="0" fontId="52" fillId="0" borderId="31" xfId="0" applyFont="1" applyBorder="1" applyAlignment="1" applyProtection="1">
      <alignment/>
      <protection locked="0"/>
    </xf>
    <xf numFmtId="0" fontId="27" fillId="0" borderId="31" xfId="0" applyFont="1" applyBorder="1" applyAlignment="1">
      <alignment/>
    </xf>
    <xf numFmtId="2" fontId="47" fillId="0" borderId="18" xfId="0" applyNumberFormat="1" applyFont="1" applyBorder="1" applyAlignment="1" applyProtection="1" quotePrefix="1">
      <alignment/>
      <protection locked="0"/>
    </xf>
    <xf numFmtId="0" fontId="50" fillId="0" borderId="44" xfId="0" applyFont="1" applyBorder="1" applyAlignment="1">
      <alignment/>
    </xf>
    <xf numFmtId="0" fontId="50" fillId="0" borderId="28" xfId="0" applyFont="1" applyBorder="1" applyAlignment="1">
      <alignment/>
    </xf>
    <xf numFmtId="0" fontId="3" fillId="36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7" fillId="0" borderId="18" xfId="0" applyFont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47" fillId="0" borderId="18" xfId="0" applyFont="1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185"/>
          <c:w val="0.88"/>
          <c:h val="0.8715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Panels!$F$42:$F$94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1.9</c:v>
                </c:pt>
                <c:pt idx="3">
                  <c:v>1.9</c:v>
                </c:pt>
                <c:pt idx="4">
                  <c:v>0</c:v>
                </c:pt>
                <c:pt idx="6">
                  <c:v>78.1</c:v>
                </c:pt>
                <c:pt idx="7">
                  <c:v>78.1</c:v>
                </c:pt>
                <c:pt idx="8">
                  <c:v>80</c:v>
                </c:pt>
                <c:pt idx="9">
                  <c:v>80</c:v>
                </c:pt>
                <c:pt idx="10">
                  <c:v>78.1</c:v>
                </c:pt>
                <c:pt idx="12">
                  <c:v>80</c:v>
                </c:pt>
                <c:pt idx="13">
                  <c:v>0</c:v>
                </c:pt>
                <c:pt idx="14">
                  <c:v>0</c:v>
                </c:pt>
                <c:pt idx="15">
                  <c:v>80</c:v>
                </c:pt>
                <c:pt idx="16">
                  <c:v>80</c:v>
                </c:pt>
                <c:pt idx="18">
                  <c:v>0</c:v>
                </c:pt>
                <c:pt idx="19">
                  <c:v>78.1</c:v>
                </c:pt>
                <c:pt idx="20">
                  <c:v>78.1</c:v>
                </c:pt>
                <c:pt idx="21">
                  <c:v>0</c:v>
                </c:pt>
                <c:pt idx="22">
                  <c:v>0</c:v>
                </c:pt>
                <c:pt idx="24">
                  <c:v>1.9</c:v>
                </c:pt>
                <c:pt idx="25">
                  <c:v>78.1</c:v>
                </c:pt>
                <c:pt idx="26">
                  <c:v>78.1</c:v>
                </c:pt>
                <c:pt idx="27">
                  <c:v>1.9</c:v>
                </c:pt>
                <c:pt idx="28">
                  <c:v>1.9</c:v>
                </c:pt>
                <c:pt idx="30">
                  <c:v>23.637209302325584</c:v>
                </c:pt>
                <c:pt idx="31">
                  <c:v>23.637209302325584</c:v>
                </c:pt>
                <c:pt idx="32">
                  <c:v>25.537209302325582</c:v>
                </c:pt>
                <c:pt idx="33">
                  <c:v>25.537209302325582</c:v>
                </c:pt>
                <c:pt idx="34">
                  <c:v>23.637209302325584</c:v>
                </c:pt>
                <c:pt idx="36">
                  <c:v>25.537209302325582</c:v>
                </c:pt>
                <c:pt idx="37">
                  <c:v>25.537209302325582</c:v>
                </c:pt>
                <c:pt idx="38">
                  <c:v>60.179069767441874</c:v>
                </c:pt>
                <c:pt idx="39">
                  <c:v>60.179069767441874</c:v>
                </c:pt>
                <c:pt idx="40">
                  <c:v>25.537209302325582</c:v>
                </c:pt>
                <c:pt idx="42">
                  <c:v>60.179069767441874</c:v>
                </c:pt>
                <c:pt idx="43">
                  <c:v>61.37906976744188</c:v>
                </c:pt>
                <c:pt idx="44">
                  <c:v>61.37906976744188</c:v>
                </c:pt>
                <c:pt idx="45">
                  <c:v>60.179069767441874</c:v>
                </c:pt>
                <c:pt idx="46">
                  <c:v>60.179069767441874</c:v>
                </c:pt>
                <c:pt idx="48">
                  <c:v>42.258139534883725</c:v>
                </c:pt>
                <c:pt idx="49">
                  <c:v>43.45813953488373</c:v>
                </c:pt>
                <c:pt idx="50">
                  <c:v>43.45813953488373</c:v>
                </c:pt>
                <c:pt idx="51">
                  <c:v>42.258139534883725</c:v>
                </c:pt>
                <c:pt idx="52">
                  <c:v>42.258139534883725</c:v>
                </c:pt>
              </c:numCache>
            </c:numRef>
          </c:xVal>
          <c:yVal>
            <c:numRef>
              <c:f>Panels!$G$42:$G$94</c:f>
              <c:numCache>
                <c:ptCount val="53"/>
                <c:pt idx="0">
                  <c:v>72</c:v>
                </c:pt>
                <c:pt idx="1">
                  <c:v>23.637209302325584</c:v>
                </c:pt>
                <c:pt idx="2">
                  <c:v>23.637209302325584</c:v>
                </c:pt>
                <c:pt idx="3">
                  <c:v>72</c:v>
                </c:pt>
                <c:pt idx="4">
                  <c:v>72</c:v>
                </c:pt>
                <c:pt idx="6">
                  <c:v>72</c:v>
                </c:pt>
                <c:pt idx="7">
                  <c:v>0</c:v>
                </c:pt>
                <c:pt idx="8">
                  <c:v>0</c:v>
                </c:pt>
                <c:pt idx="9">
                  <c:v>72</c:v>
                </c:pt>
                <c:pt idx="10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0</c:v>
                </c:pt>
                <c:pt idx="15">
                  <c:v>0</c:v>
                </c:pt>
                <c:pt idx="16">
                  <c:v>72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72</c:v>
                </c:pt>
                <c:pt idx="25">
                  <c:v>72</c:v>
                </c:pt>
                <c:pt idx="26">
                  <c:v>70.1</c:v>
                </c:pt>
                <c:pt idx="27">
                  <c:v>70.1</c:v>
                </c:pt>
                <c:pt idx="28">
                  <c:v>72</c:v>
                </c:pt>
                <c:pt idx="30">
                  <c:v>18.62093023255814</c:v>
                </c:pt>
                <c:pt idx="31">
                  <c:v>70.1</c:v>
                </c:pt>
                <c:pt idx="32">
                  <c:v>70.1</c:v>
                </c:pt>
                <c:pt idx="33">
                  <c:v>18.62093023255814</c:v>
                </c:pt>
                <c:pt idx="34">
                  <c:v>18.62093023255814</c:v>
                </c:pt>
                <c:pt idx="36">
                  <c:v>18.62093023255814</c:v>
                </c:pt>
                <c:pt idx="37">
                  <c:v>19.82093023255814</c:v>
                </c:pt>
                <c:pt idx="38">
                  <c:v>19.82093023255814</c:v>
                </c:pt>
                <c:pt idx="39">
                  <c:v>18.62093023255814</c:v>
                </c:pt>
                <c:pt idx="40">
                  <c:v>18.62093023255814</c:v>
                </c:pt>
                <c:pt idx="42">
                  <c:v>18.62093023255814</c:v>
                </c:pt>
                <c:pt idx="43">
                  <c:v>18.62093023255814</c:v>
                </c:pt>
                <c:pt idx="44">
                  <c:v>53.37906976744185</c:v>
                </c:pt>
                <c:pt idx="45">
                  <c:v>53.37906976744185</c:v>
                </c:pt>
                <c:pt idx="46">
                  <c:v>18.62093023255814</c:v>
                </c:pt>
                <c:pt idx="48">
                  <c:v>70.1</c:v>
                </c:pt>
                <c:pt idx="49">
                  <c:v>70.1</c:v>
                </c:pt>
                <c:pt idx="50">
                  <c:v>36.54186046511629</c:v>
                </c:pt>
                <c:pt idx="51">
                  <c:v>36.54186046511629</c:v>
                </c:pt>
                <c:pt idx="52">
                  <c:v>70.1</c:v>
                </c:pt>
              </c:numCache>
            </c:numRef>
          </c:yVal>
          <c:smooth val="0"/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Path!$F$19:$F$126</c:f>
              <c:numCache>
                <c:ptCount val="108"/>
                <c:pt idx="0">
                  <c:v>25.537209302325582</c:v>
                </c:pt>
                <c:pt idx="1">
                  <c:v>42.258139534883725</c:v>
                </c:pt>
                <c:pt idx="3">
                  <c:v>25.537209302325582</c:v>
                </c:pt>
                <c:pt idx="4">
                  <c:v>42.258139534883725</c:v>
                </c:pt>
                <c:pt idx="6">
                  <c:v>25.537209302325582</c:v>
                </c:pt>
                <c:pt idx="7">
                  <c:v>42.258139534883725</c:v>
                </c:pt>
                <c:pt idx="9">
                  <c:v>25.537209302325582</c:v>
                </c:pt>
                <c:pt idx="10">
                  <c:v>42.258139534883725</c:v>
                </c:pt>
                <c:pt idx="12">
                  <c:v>33.89767441860465</c:v>
                </c:pt>
                <c:pt idx="13">
                  <c:v>42.258139534883725</c:v>
                </c:pt>
                <c:pt idx="15">
                  <c:v>42.258139534883725</c:v>
                </c:pt>
                <c:pt idx="16">
                  <c:v>42.258139534883725</c:v>
                </c:pt>
                <c:pt idx="18">
                  <c:v>43.45813953488373</c:v>
                </c:pt>
                <c:pt idx="19">
                  <c:v>43.45813953488373</c:v>
                </c:pt>
                <c:pt idx="21">
                  <c:v>51.8186046511628</c:v>
                </c:pt>
                <c:pt idx="22">
                  <c:v>43.45813953488373</c:v>
                </c:pt>
                <c:pt idx="24">
                  <c:v>60.179069767441874</c:v>
                </c:pt>
                <c:pt idx="25">
                  <c:v>43.45813953488373</c:v>
                </c:pt>
                <c:pt idx="27">
                  <c:v>60.179069767441874</c:v>
                </c:pt>
                <c:pt idx="28">
                  <c:v>43.45813953488373</c:v>
                </c:pt>
                <c:pt idx="30">
                  <c:v>43.45813953488373</c:v>
                </c:pt>
                <c:pt idx="31">
                  <c:v>60.179069767441874</c:v>
                </c:pt>
                <c:pt idx="33">
                  <c:v>43.45813953488373</c:v>
                </c:pt>
                <c:pt idx="34">
                  <c:v>60.179069767441874</c:v>
                </c:pt>
                <c:pt idx="36">
                  <c:v>51.8186046511628</c:v>
                </c:pt>
                <c:pt idx="37">
                  <c:v>60.179069767441874</c:v>
                </c:pt>
                <c:pt idx="39">
                  <c:v>60.179069767441874</c:v>
                </c:pt>
                <c:pt idx="40">
                  <c:v>60.179069767441874</c:v>
                </c:pt>
                <c:pt idx="42">
                  <c:v>61.37906976744188</c:v>
                </c:pt>
                <c:pt idx="43">
                  <c:v>61.37906976744188</c:v>
                </c:pt>
                <c:pt idx="45">
                  <c:v>69.73953488372094</c:v>
                </c:pt>
                <c:pt idx="46">
                  <c:v>61.37906976744188</c:v>
                </c:pt>
                <c:pt idx="48">
                  <c:v>78.1</c:v>
                </c:pt>
                <c:pt idx="49">
                  <c:v>61.37906976744188</c:v>
                </c:pt>
                <c:pt idx="51">
                  <c:v>78.1</c:v>
                </c:pt>
                <c:pt idx="52">
                  <c:v>61.37906976744188</c:v>
                </c:pt>
                <c:pt idx="54">
                  <c:v>78.1</c:v>
                </c:pt>
                <c:pt idx="55">
                  <c:v>61.37906976744188</c:v>
                </c:pt>
                <c:pt idx="57">
                  <c:v>78.1</c:v>
                </c:pt>
                <c:pt idx="58">
                  <c:v>61.37906976744188</c:v>
                </c:pt>
                <c:pt idx="60">
                  <c:v>69.73953488372094</c:v>
                </c:pt>
                <c:pt idx="61">
                  <c:v>61.37906976744188</c:v>
                </c:pt>
                <c:pt idx="63">
                  <c:v>61.37906976744188</c:v>
                </c:pt>
                <c:pt idx="64">
                  <c:v>61.37906976744188</c:v>
                </c:pt>
                <c:pt idx="66">
                  <c:v>23.637209302325584</c:v>
                </c:pt>
                <c:pt idx="67">
                  <c:v>23.637209302325584</c:v>
                </c:pt>
                <c:pt idx="72">
                  <c:v>23.637209302325584</c:v>
                </c:pt>
                <c:pt idx="73">
                  <c:v>23.637209302325584</c:v>
                </c:pt>
                <c:pt idx="75">
                  <c:v>12.768604651162791</c:v>
                </c:pt>
                <c:pt idx="76">
                  <c:v>12.768604651162791</c:v>
                </c:pt>
                <c:pt idx="78">
                  <c:v>1.9</c:v>
                </c:pt>
                <c:pt idx="79">
                  <c:v>1.9</c:v>
                </c:pt>
                <c:pt idx="81">
                  <c:v>0</c:v>
                </c:pt>
                <c:pt idx="82">
                  <c:v>0</c:v>
                </c:pt>
                <c:pt idx="87">
                  <c:v>1.9</c:v>
                </c:pt>
                <c:pt idx="88">
                  <c:v>23.637209302325584</c:v>
                </c:pt>
                <c:pt idx="90">
                  <c:v>1.9</c:v>
                </c:pt>
                <c:pt idx="91">
                  <c:v>23.637209302325584</c:v>
                </c:pt>
                <c:pt idx="93">
                  <c:v>1.9</c:v>
                </c:pt>
                <c:pt idx="94">
                  <c:v>23.637209302325584</c:v>
                </c:pt>
                <c:pt idx="96">
                  <c:v>1.9</c:v>
                </c:pt>
                <c:pt idx="97">
                  <c:v>23.637209302325584</c:v>
                </c:pt>
                <c:pt idx="99">
                  <c:v>1.9</c:v>
                </c:pt>
                <c:pt idx="100">
                  <c:v>23.637209302325584</c:v>
                </c:pt>
                <c:pt idx="102">
                  <c:v>1.9</c:v>
                </c:pt>
                <c:pt idx="103">
                  <c:v>23.637209302325584</c:v>
                </c:pt>
              </c:numCache>
            </c:numRef>
          </c:xVal>
          <c:yVal>
            <c:numRef>
              <c:f>Path!$G$19:$G$126</c:f>
              <c:numCache>
                <c:ptCount val="108"/>
                <c:pt idx="0">
                  <c:v>70.1</c:v>
                </c:pt>
                <c:pt idx="1">
                  <c:v>70.1</c:v>
                </c:pt>
                <c:pt idx="3">
                  <c:v>51.199999999999996</c:v>
                </c:pt>
                <c:pt idx="4">
                  <c:v>51.199999999999996</c:v>
                </c:pt>
                <c:pt idx="6">
                  <c:v>36.54186046511629</c:v>
                </c:pt>
                <c:pt idx="7">
                  <c:v>36.54186046511629</c:v>
                </c:pt>
                <c:pt idx="9">
                  <c:v>28.181395348837214</c:v>
                </c:pt>
                <c:pt idx="10">
                  <c:v>36.54186046511629</c:v>
                </c:pt>
                <c:pt idx="12">
                  <c:v>19.82093023255814</c:v>
                </c:pt>
                <c:pt idx="13">
                  <c:v>36.54186046511629</c:v>
                </c:pt>
                <c:pt idx="15">
                  <c:v>19.82093023255814</c:v>
                </c:pt>
                <c:pt idx="16">
                  <c:v>36.54186046511629</c:v>
                </c:pt>
                <c:pt idx="18">
                  <c:v>19.82093023255814</c:v>
                </c:pt>
                <c:pt idx="19">
                  <c:v>36.54186046511629</c:v>
                </c:pt>
                <c:pt idx="21">
                  <c:v>19.82093023255814</c:v>
                </c:pt>
                <c:pt idx="22">
                  <c:v>36.54186046511629</c:v>
                </c:pt>
                <c:pt idx="24">
                  <c:v>28.181395348837214</c:v>
                </c:pt>
                <c:pt idx="25">
                  <c:v>36.54186046511629</c:v>
                </c:pt>
                <c:pt idx="27">
                  <c:v>36.54186046511629</c:v>
                </c:pt>
                <c:pt idx="28">
                  <c:v>36.54186046511629</c:v>
                </c:pt>
                <c:pt idx="30">
                  <c:v>53.37906976744185</c:v>
                </c:pt>
                <c:pt idx="31">
                  <c:v>53.37906976744185</c:v>
                </c:pt>
                <c:pt idx="33">
                  <c:v>61.73953488372092</c:v>
                </c:pt>
                <c:pt idx="34">
                  <c:v>53.37906976744185</c:v>
                </c:pt>
                <c:pt idx="36">
                  <c:v>70.1</c:v>
                </c:pt>
                <c:pt idx="37">
                  <c:v>53.37906976744185</c:v>
                </c:pt>
                <c:pt idx="39">
                  <c:v>70.1</c:v>
                </c:pt>
                <c:pt idx="40">
                  <c:v>53.37906976744185</c:v>
                </c:pt>
                <c:pt idx="42">
                  <c:v>70.1</c:v>
                </c:pt>
                <c:pt idx="43">
                  <c:v>53.37906976744185</c:v>
                </c:pt>
                <c:pt idx="45">
                  <c:v>70.1</c:v>
                </c:pt>
                <c:pt idx="46">
                  <c:v>53.37906976744185</c:v>
                </c:pt>
                <c:pt idx="48">
                  <c:v>61.73953488372092</c:v>
                </c:pt>
                <c:pt idx="49">
                  <c:v>53.37906976744185</c:v>
                </c:pt>
                <c:pt idx="51">
                  <c:v>53.37906976744185</c:v>
                </c:pt>
                <c:pt idx="52">
                  <c:v>53.37906976744185</c:v>
                </c:pt>
                <c:pt idx="54">
                  <c:v>18.62093023255814</c:v>
                </c:pt>
                <c:pt idx="55">
                  <c:v>18.62093023255814</c:v>
                </c:pt>
                <c:pt idx="57">
                  <c:v>10.26046511627907</c:v>
                </c:pt>
                <c:pt idx="58">
                  <c:v>18.62093023255814</c:v>
                </c:pt>
                <c:pt idx="60">
                  <c:v>1.9</c:v>
                </c:pt>
                <c:pt idx="61">
                  <c:v>18.62093023255814</c:v>
                </c:pt>
                <c:pt idx="63">
                  <c:v>1.9</c:v>
                </c:pt>
                <c:pt idx="64">
                  <c:v>18.62093023255814</c:v>
                </c:pt>
                <c:pt idx="66">
                  <c:v>1.9</c:v>
                </c:pt>
                <c:pt idx="67">
                  <c:v>18.62093023255814</c:v>
                </c:pt>
                <c:pt idx="72">
                  <c:v>1.9</c:v>
                </c:pt>
                <c:pt idx="73">
                  <c:v>23.637209302325584</c:v>
                </c:pt>
                <c:pt idx="75">
                  <c:v>1.9</c:v>
                </c:pt>
                <c:pt idx="76">
                  <c:v>23.637209302325584</c:v>
                </c:pt>
                <c:pt idx="78">
                  <c:v>1.9</c:v>
                </c:pt>
                <c:pt idx="79">
                  <c:v>23.637209302325584</c:v>
                </c:pt>
                <c:pt idx="81">
                  <c:v>1.9</c:v>
                </c:pt>
                <c:pt idx="82">
                  <c:v>23.637209302325584</c:v>
                </c:pt>
                <c:pt idx="87">
                  <c:v>70.1</c:v>
                </c:pt>
                <c:pt idx="88">
                  <c:v>70.1</c:v>
                </c:pt>
                <c:pt idx="90">
                  <c:v>51.199999999999996</c:v>
                </c:pt>
                <c:pt idx="91">
                  <c:v>51.199999999999996</c:v>
                </c:pt>
                <c:pt idx="93">
                  <c:v>25.537209302325582</c:v>
                </c:pt>
                <c:pt idx="94">
                  <c:v>25.537209302325582</c:v>
                </c:pt>
                <c:pt idx="96">
                  <c:v>23.637209302325584</c:v>
                </c:pt>
                <c:pt idx="97">
                  <c:v>23.637209302325584</c:v>
                </c:pt>
                <c:pt idx="99">
                  <c:v>23.637209302325584</c:v>
                </c:pt>
                <c:pt idx="100">
                  <c:v>23.637209302325584</c:v>
                </c:pt>
                <c:pt idx="102">
                  <c:v>23.637209302325584</c:v>
                </c:pt>
                <c:pt idx="103">
                  <c:v>23.637209302325584</c:v>
                </c:pt>
              </c:numCache>
            </c:numRef>
          </c:yVal>
          <c:smooth val="0"/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Panels!$F$4:$F$37</c:f>
              <c:numCache>
                <c:ptCount val="34"/>
                <c:pt idx="0">
                  <c:v>23.637209302325584</c:v>
                </c:pt>
                <c:pt idx="1">
                  <c:v>23.637209302325584</c:v>
                </c:pt>
                <c:pt idx="2">
                  <c:v>10.937209302325584</c:v>
                </c:pt>
                <c:pt idx="3">
                  <c:v>10.937209302325584</c:v>
                </c:pt>
                <c:pt idx="4">
                  <c:v>16.017209302325583</c:v>
                </c:pt>
                <c:pt idx="5">
                  <c:v>23.637209302325584</c:v>
                </c:pt>
                <c:pt idx="7">
                  <c:v>23.637209302325584</c:v>
                </c:pt>
                <c:pt idx="8">
                  <c:v>23.637209302325584</c:v>
                </c:pt>
                <c:pt idx="9">
                  <c:v>10.937209302325584</c:v>
                </c:pt>
                <c:pt idx="10">
                  <c:v>10.937209302325584</c:v>
                </c:pt>
                <c:pt idx="11">
                  <c:v>16.017209302325583</c:v>
                </c:pt>
                <c:pt idx="12">
                  <c:v>23.637209302325584</c:v>
                </c:pt>
                <c:pt idx="14">
                  <c:v>16.017209302325583</c:v>
                </c:pt>
                <c:pt idx="15">
                  <c:v>16.017209302325583</c:v>
                </c:pt>
                <c:pt idx="18">
                  <c:v>23.637209302325584</c:v>
                </c:pt>
                <c:pt idx="19">
                  <c:v>23.637209302325584</c:v>
                </c:pt>
                <c:pt idx="20">
                  <c:v>10.937209302325584</c:v>
                </c:pt>
                <c:pt idx="21">
                  <c:v>10.937209302325584</c:v>
                </c:pt>
                <c:pt idx="22">
                  <c:v>16.017209302325583</c:v>
                </c:pt>
                <c:pt idx="23">
                  <c:v>23.637209302325584</c:v>
                </c:pt>
                <c:pt idx="25">
                  <c:v>23.637209302325584</c:v>
                </c:pt>
                <c:pt idx="26">
                  <c:v>23.637209302325584</c:v>
                </c:pt>
                <c:pt idx="27">
                  <c:v>10.937209302325584</c:v>
                </c:pt>
                <c:pt idx="28">
                  <c:v>10.937209302325584</c:v>
                </c:pt>
                <c:pt idx="29">
                  <c:v>16.017209302325583</c:v>
                </c:pt>
                <c:pt idx="30">
                  <c:v>23.637209302325584</c:v>
                </c:pt>
                <c:pt idx="32">
                  <c:v>16.017209302325583</c:v>
                </c:pt>
                <c:pt idx="33">
                  <c:v>16.017209302325583</c:v>
                </c:pt>
              </c:numCache>
            </c:numRef>
          </c:xVal>
          <c:yVal>
            <c:numRef>
              <c:f>Panels!$G$4:$G$37</c:f>
              <c:numCache>
                <c:ptCount val="34"/>
                <c:pt idx="0">
                  <c:v>67.1</c:v>
                </c:pt>
                <c:pt idx="1">
                  <c:v>51.199999999999996</c:v>
                </c:pt>
                <c:pt idx="2">
                  <c:v>51.199999999999996</c:v>
                </c:pt>
                <c:pt idx="3">
                  <c:v>60.699999999999996</c:v>
                </c:pt>
                <c:pt idx="4">
                  <c:v>60.699999999999996</c:v>
                </c:pt>
                <c:pt idx="5">
                  <c:v>65.14999999999999</c:v>
                </c:pt>
                <c:pt idx="7">
                  <c:v>35.3</c:v>
                </c:pt>
                <c:pt idx="8">
                  <c:v>51.199999999999996</c:v>
                </c:pt>
                <c:pt idx="9">
                  <c:v>51.199999999999996</c:v>
                </c:pt>
                <c:pt idx="10">
                  <c:v>41.699999999999996</c:v>
                </c:pt>
                <c:pt idx="11">
                  <c:v>41.699999999999996</c:v>
                </c:pt>
                <c:pt idx="12">
                  <c:v>37.25</c:v>
                </c:pt>
                <c:pt idx="14">
                  <c:v>41.699999999999996</c:v>
                </c:pt>
                <c:pt idx="15">
                  <c:v>60.699999999999996</c:v>
                </c:pt>
                <c:pt idx="18">
                  <c:v>67.1</c:v>
                </c:pt>
                <c:pt idx="19">
                  <c:v>51.199999999999996</c:v>
                </c:pt>
                <c:pt idx="20">
                  <c:v>51.199999999999996</c:v>
                </c:pt>
                <c:pt idx="21">
                  <c:v>60.699999999999996</c:v>
                </c:pt>
                <c:pt idx="22">
                  <c:v>60.699999999999996</c:v>
                </c:pt>
                <c:pt idx="23">
                  <c:v>65.14999999999999</c:v>
                </c:pt>
                <c:pt idx="25">
                  <c:v>35.3</c:v>
                </c:pt>
                <c:pt idx="26">
                  <c:v>51.199999999999996</c:v>
                </c:pt>
                <c:pt idx="27">
                  <c:v>51.199999999999996</c:v>
                </c:pt>
                <c:pt idx="28">
                  <c:v>41.699999999999996</c:v>
                </c:pt>
                <c:pt idx="29">
                  <c:v>41.699999999999996</c:v>
                </c:pt>
                <c:pt idx="30">
                  <c:v>37.25</c:v>
                </c:pt>
                <c:pt idx="32">
                  <c:v>41.699999999999996</c:v>
                </c:pt>
                <c:pt idx="33">
                  <c:v>60.699999999999996</c:v>
                </c:pt>
              </c:numCache>
            </c:numRef>
          </c:yVal>
          <c:smooth val="0"/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Path!$J$19:$J$126</c:f>
              <c:numCache>
                <c:ptCount val="108"/>
                <c:pt idx="0">
                  <c:v>33.89767441860465</c:v>
                </c:pt>
                <c:pt idx="1">
                  <c:v>33.89767441860465</c:v>
                </c:pt>
                <c:pt idx="2">
                  <c:v>33.89767441860465</c:v>
                </c:pt>
                <c:pt idx="3">
                  <c:v>33.89767441860465</c:v>
                </c:pt>
                <c:pt idx="4">
                  <c:v>33.89767441860465</c:v>
                </c:pt>
                <c:pt idx="5">
                  <c:v>33.89767441860465</c:v>
                </c:pt>
                <c:pt idx="6">
                  <c:v>33.89767441860465</c:v>
                </c:pt>
                <c:pt idx="7">
                  <c:v>33.89767441860465</c:v>
                </c:pt>
                <c:pt idx="8">
                  <c:v>33.89767441860465</c:v>
                </c:pt>
                <c:pt idx="9">
                  <c:v>33.89767441860465</c:v>
                </c:pt>
                <c:pt idx="10">
                  <c:v>33.89767441860465</c:v>
                </c:pt>
                <c:pt idx="11">
                  <c:v>33.89767441860465</c:v>
                </c:pt>
                <c:pt idx="12">
                  <c:v>38.07790697674419</c:v>
                </c:pt>
                <c:pt idx="13">
                  <c:v>38.07790697674419</c:v>
                </c:pt>
                <c:pt idx="14">
                  <c:v>38.07790697674419</c:v>
                </c:pt>
                <c:pt idx="15">
                  <c:v>42.258139534883725</c:v>
                </c:pt>
                <c:pt idx="16">
                  <c:v>42.258139534883725</c:v>
                </c:pt>
                <c:pt idx="17">
                  <c:v>42.258139534883725</c:v>
                </c:pt>
                <c:pt idx="18">
                  <c:v>43.45813953488373</c:v>
                </c:pt>
                <c:pt idx="19">
                  <c:v>43.45813953488373</c:v>
                </c:pt>
                <c:pt idx="20">
                  <c:v>43.45813953488373</c:v>
                </c:pt>
                <c:pt idx="21">
                  <c:v>47.638372093023264</c:v>
                </c:pt>
                <c:pt idx="22">
                  <c:v>47.638372093023264</c:v>
                </c:pt>
                <c:pt idx="23">
                  <c:v>47.638372093023264</c:v>
                </c:pt>
                <c:pt idx="24">
                  <c:v>51.8186046511628</c:v>
                </c:pt>
                <c:pt idx="25">
                  <c:v>51.8186046511628</c:v>
                </c:pt>
                <c:pt idx="26">
                  <c:v>51.8186046511628</c:v>
                </c:pt>
                <c:pt idx="27">
                  <c:v>51.8186046511628</c:v>
                </c:pt>
                <c:pt idx="28">
                  <c:v>51.8186046511628</c:v>
                </c:pt>
                <c:pt idx="29">
                  <c:v>51.8186046511628</c:v>
                </c:pt>
                <c:pt idx="30">
                  <c:v>51.8186046511628</c:v>
                </c:pt>
                <c:pt idx="31">
                  <c:v>51.8186046511628</c:v>
                </c:pt>
                <c:pt idx="32">
                  <c:v>51.8186046511628</c:v>
                </c:pt>
                <c:pt idx="33">
                  <c:v>51.8186046511628</c:v>
                </c:pt>
                <c:pt idx="34">
                  <c:v>51.8186046511628</c:v>
                </c:pt>
                <c:pt idx="35">
                  <c:v>51.8186046511628</c:v>
                </c:pt>
                <c:pt idx="36">
                  <c:v>55.99883720930234</c:v>
                </c:pt>
                <c:pt idx="37">
                  <c:v>55.99883720930234</c:v>
                </c:pt>
                <c:pt idx="38">
                  <c:v>55.99883720930234</c:v>
                </c:pt>
                <c:pt idx="39">
                  <c:v>60.179069767441874</c:v>
                </c:pt>
                <c:pt idx="40">
                  <c:v>60.179069767441874</c:v>
                </c:pt>
                <c:pt idx="41">
                  <c:v>60.179069767441874</c:v>
                </c:pt>
                <c:pt idx="42">
                  <c:v>61.37906976744188</c:v>
                </c:pt>
                <c:pt idx="43">
                  <c:v>61.37906976744188</c:v>
                </c:pt>
                <c:pt idx="44">
                  <c:v>61.37906976744188</c:v>
                </c:pt>
                <c:pt idx="45">
                  <c:v>65.5593023255814</c:v>
                </c:pt>
                <c:pt idx="46">
                  <c:v>65.5593023255814</c:v>
                </c:pt>
                <c:pt idx="47">
                  <c:v>65.5593023255814</c:v>
                </c:pt>
                <c:pt idx="48">
                  <c:v>69.73953488372094</c:v>
                </c:pt>
                <c:pt idx="49">
                  <c:v>69.73953488372094</c:v>
                </c:pt>
                <c:pt idx="50">
                  <c:v>69.73953488372094</c:v>
                </c:pt>
                <c:pt idx="51">
                  <c:v>69.73953488372094</c:v>
                </c:pt>
                <c:pt idx="52">
                  <c:v>69.73953488372094</c:v>
                </c:pt>
                <c:pt idx="53">
                  <c:v>69.73953488372094</c:v>
                </c:pt>
                <c:pt idx="54">
                  <c:v>69.73953488372094</c:v>
                </c:pt>
                <c:pt idx="55">
                  <c:v>69.73953488372094</c:v>
                </c:pt>
                <c:pt idx="56">
                  <c:v>69.73953488372094</c:v>
                </c:pt>
                <c:pt idx="57">
                  <c:v>69.73953488372094</c:v>
                </c:pt>
                <c:pt idx="58">
                  <c:v>69.73953488372094</c:v>
                </c:pt>
                <c:pt idx="59">
                  <c:v>69.73953488372094</c:v>
                </c:pt>
                <c:pt idx="60">
                  <c:v>65.5593023255814</c:v>
                </c:pt>
                <c:pt idx="61">
                  <c:v>65.5593023255814</c:v>
                </c:pt>
                <c:pt idx="62">
                  <c:v>65.5593023255814</c:v>
                </c:pt>
                <c:pt idx="63">
                  <c:v>61.37906976744188</c:v>
                </c:pt>
                <c:pt idx="64">
                  <c:v>61.37906976744188</c:v>
                </c:pt>
                <c:pt idx="65">
                  <c:v>61.37906976744188</c:v>
                </c:pt>
                <c:pt idx="66">
                  <c:v>23.637209302325584</c:v>
                </c:pt>
                <c:pt idx="67">
                  <c:v>23.637209302325584</c:v>
                </c:pt>
                <c:pt idx="68">
                  <c:v>23.637209302325584</c:v>
                </c:pt>
                <c:pt idx="72">
                  <c:v>23.637209302325584</c:v>
                </c:pt>
                <c:pt idx="73">
                  <c:v>23.637209302325584</c:v>
                </c:pt>
                <c:pt idx="74">
                  <c:v>23.637209302325584</c:v>
                </c:pt>
                <c:pt idx="75">
                  <c:v>12.768604651162791</c:v>
                </c:pt>
                <c:pt idx="76">
                  <c:v>12.768604651162791</c:v>
                </c:pt>
                <c:pt idx="77">
                  <c:v>12.768604651162791</c:v>
                </c:pt>
                <c:pt idx="78">
                  <c:v>1.9</c:v>
                </c:pt>
                <c:pt idx="79">
                  <c:v>1.9</c:v>
                </c:pt>
                <c:pt idx="80">
                  <c:v>1.9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7">
                  <c:v>12.768604651162791</c:v>
                </c:pt>
                <c:pt idx="88">
                  <c:v>12.768604651162791</c:v>
                </c:pt>
                <c:pt idx="89">
                  <c:v>12.768604651162791</c:v>
                </c:pt>
                <c:pt idx="90">
                  <c:v>12.768604651162791</c:v>
                </c:pt>
                <c:pt idx="91">
                  <c:v>12.768604651162791</c:v>
                </c:pt>
                <c:pt idx="92">
                  <c:v>12.768604651162791</c:v>
                </c:pt>
                <c:pt idx="93">
                  <c:v>12.768604651162791</c:v>
                </c:pt>
                <c:pt idx="94">
                  <c:v>12.768604651162791</c:v>
                </c:pt>
                <c:pt idx="95">
                  <c:v>12.768604651162791</c:v>
                </c:pt>
                <c:pt idx="96">
                  <c:v>12.768604651162791</c:v>
                </c:pt>
                <c:pt idx="97">
                  <c:v>12.768604651162791</c:v>
                </c:pt>
                <c:pt idx="98">
                  <c:v>12.768604651162791</c:v>
                </c:pt>
                <c:pt idx="99">
                  <c:v>12.768604651162791</c:v>
                </c:pt>
                <c:pt idx="100">
                  <c:v>12.768604651162791</c:v>
                </c:pt>
                <c:pt idx="101">
                  <c:v>12.768604651162791</c:v>
                </c:pt>
                <c:pt idx="102">
                  <c:v>12.768604651162791</c:v>
                </c:pt>
                <c:pt idx="103">
                  <c:v>12.768604651162791</c:v>
                </c:pt>
                <c:pt idx="104">
                  <c:v>12.768604651162791</c:v>
                </c:pt>
              </c:numCache>
            </c:numRef>
          </c:xVal>
          <c:yVal>
            <c:numRef>
              <c:f>Path!$K$19:$K$126</c:f>
              <c:numCache>
                <c:ptCount val="108"/>
                <c:pt idx="0">
                  <c:v>70.1</c:v>
                </c:pt>
                <c:pt idx="1">
                  <c:v>70.1</c:v>
                </c:pt>
                <c:pt idx="2">
                  <c:v>70.1</c:v>
                </c:pt>
                <c:pt idx="3">
                  <c:v>51.199999999999996</c:v>
                </c:pt>
                <c:pt idx="4">
                  <c:v>51.199999999999996</c:v>
                </c:pt>
                <c:pt idx="5">
                  <c:v>51.199999999999996</c:v>
                </c:pt>
                <c:pt idx="6">
                  <c:v>36.54186046511629</c:v>
                </c:pt>
                <c:pt idx="7">
                  <c:v>36.54186046511629</c:v>
                </c:pt>
                <c:pt idx="8">
                  <c:v>36.54186046511629</c:v>
                </c:pt>
                <c:pt idx="9">
                  <c:v>32.36162790697675</c:v>
                </c:pt>
                <c:pt idx="10">
                  <c:v>32.36162790697675</c:v>
                </c:pt>
                <c:pt idx="11">
                  <c:v>32.36162790697675</c:v>
                </c:pt>
                <c:pt idx="12">
                  <c:v>28.181395348837214</c:v>
                </c:pt>
                <c:pt idx="13">
                  <c:v>28.181395348837214</c:v>
                </c:pt>
                <c:pt idx="14">
                  <c:v>28.181395348837214</c:v>
                </c:pt>
                <c:pt idx="15">
                  <c:v>28.181395348837214</c:v>
                </c:pt>
                <c:pt idx="16">
                  <c:v>28.181395348837214</c:v>
                </c:pt>
                <c:pt idx="17">
                  <c:v>28.181395348837214</c:v>
                </c:pt>
                <c:pt idx="18">
                  <c:v>28.181395348837214</c:v>
                </c:pt>
                <c:pt idx="19">
                  <c:v>28.181395348837214</c:v>
                </c:pt>
                <c:pt idx="20">
                  <c:v>28.181395348837214</c:v>
                </c:pt>
                <c:pt idx="21">
                  <c:v>28.181395348837214</c:v>
                </c:pt>
                <c:pt idx="22">
                  <c:v>28.181395348837214</c:v>
                </c:pt>
                <c:pt idx="23">
                  <c:v>28.181395348837214</c:v>
                </c:pt>
                <c:pt idx="24">
                  <c:v>32.36162790697675</c:v>
                </c:pt>
                <c:pt idx="25">
                  <c:v>32.36162790697675</c:v>
                </c:pt>
                <c:pt idx="26">
                  <c:v>32.36162790697675</c:v>
                </c:pt>
                <c:pt idx="27">
                  <c:v>36.54186046511629</c:v>
                </c:pt>
                <c:pt idx="28">
                  <c:v>36.54186046511629</c:v>
                </c:pt>
                <c:pt idx="29">
                  <c:v>36.54186046511629</c:v>
                </c:pt>
                <c:pt idx="30">
                  <c:v>53.37906976744185</c:v>
                </c:pt>
                <c:pt idx="31">
                  <c:v>53.37906976744185</c:v>
                </c:pt>
                <c:pt idx="32">
                  <c:v>53.37906976744185</c:v>
                </c:pt>
                <c:pt idx="33">
                  <c:v>57.559302325581385</c:v>
                </c:pt>
                <c:pt idx="34">
                  <c:v>57.559302325581385</c:v>
                </c:pt>
                <c:pt idx="35">
                  <c:v>57.559302325581385</c:v>
                </c:pt>
                <c:pt idx="36">
                  <c:v>61.73953488372092</c:v>
                </c:pt>
                <c:pt idx="37">
                  <c:v>61.73953488372092</c:v>
                </c:pt>
                <c:pt idx="38">
                  <c:v>61.73953488372092</c:v>
                </c:pt>
                <c:pt idx="39">
                  <c:v>61.73953488372092</c:v>
                </c:pt>
                <c:pt idx="40">
                  <c:v>61.73953488372092</c:v>
                </c:pt>
                <c:pt idx="41">
                  <c:v>61.73953488372092</c:v>
                </c:pt>
                <c:pt idx="42">
                  <c:v>61.73953488372092</c:v>
                </c:pt>
                <c:pt idx="43">
                  <c:v>61.73953488372092</c:v>
                </c:pt>
                <c:pt idx="44">
                  <c:v>61.73953488372092</c:v>
                </c:pt>
                <c:pt idx="45">
                  <c:v>61.73953488372092</c:v>
                </c:pt>
                <c:pt idx="46">
                  <c:v>61.73953488372092</c:v>
                </c:pt>
                <c:pt idx="47">
                  <c:v>61.73953488372092</c:v>
                </c:pt>
                <c:pt idx="48">
                  <c:v>57.559302325581385</c:v>
                </c:pt>
                <c:pt idx="49">
                  <c:v>57.559302325581385</c:v>
                </c:pt>
                <c:pt idx="50">
                  <c:v>57.559302325581385</c:v>
                </c:pt>
                <c:pt idx="51">
                  <c:v>53.37906976744185</c:v>
                </c:pt>
                <c:pt idx="52">
                  <c:v>53.37906976744185</c:v>
                </c:pt>
                <c:pt idx="53">
                  <c:v>53.37906976744185</c:v>
                </c:pt>
                <c:pt idx="54">
                  <c:v>18.62093023255814</c:v>
                </c:pt>
                <c:pt idx="55">
                  <c:v>18.62093023255814</c:v>
                </c:pt>
                <c:pt idx="56">
                  <c:v>18.62093023255814</c:v>
                </c:pt>
                <c:pt idx="57">
                  <c:v>14.440697674418605</c:v>
                </c:pt>
                <c:pt idx="58">
                  <c:v>14.440697674418605</c:v>
                </c:pt>
                <c:pt idx="59">
                  <c:v>14.440697674418605</c:v>
                </c:pt>
                <c:pt idx="60">
                  <c:v>10.26046511627907</c:v>
                </c:pt>
                <c:pt idx="61">
                  <c:v>10.26046511627907</c:v>
                </c:pt>
                <c:pt idx="62">
                  <c:v>10.26046511627907</c:v>
                </c:pt>
                <c:pt idx="63">
                  <c:v>10.26046511627907</c:v>
                </c:pt>
                <c:pt idx="64">
                  <c:v>10.26046511627907</c:v>
                </c:pt>
                <c:pt idx="65">
                  <c:v>10.26046511627907</c:v>
                </c:pt>
                <c:pt idx="66">
                  <c:v>10.26046511627907</c:v>
                </c:pt>
                <c:pt idx="67">
                  <c:v>10.26046511627907</c:v>
                </c:pt>
                <c:pt idx="68">
                  <c:v>10.26046511627907</c:v>
                </c:pt>
                <c:pt idx="72">
                  <c:v>12.768604651162791</c:v>
                </c:pt>
                <c:pt idx="73">
                  <c:v>12.768604651162791</c:v>
                </c:pt>
                <c:pt idx="74">
                  <c:v>12.768604651162791</c:v>
                </c:pt>
                <c:pt idx="75">
                  <c:v>12.768604651162791</c:v>
                </c:pt>
                <c:pt idx="76">
                  <c:v>12.768604651162791</c:v>
                </c:pt>
                <c:pt idx="77">
                  <c:v>12.768604651162791</c:v>
                </c:pt>
                <c:pt idx="78">
                  <c:v>12.768604651162791</c:v>
                </c:pt>
                <c:pt idx="79">
                  <c:v>12.768604651162791</c:v>
                </c:pt>
                <c:pt idx="80">
                  <c:v>12.768604651162791</c:v>
                </c:pt>
                <c:pt idx="81">
                  <c:v>12.768604651162791</c:v>
                </c:pt>
                <c:pt idx="82">
                  <c:v>12.768604651162791</c:v>
                </c:pt>
                <c:pt idx="83">
                  <c:v>12.768604651162791</c:v>
                </c:pt>
                <c:pt idx="87">
                  <c:v>70.1</c:v>
                </c:pt>
                <c:pt idx="88">
                  <c:v>70.1</c:v>
                </c:pt>
                <c:pt idx="89">
                  <c:v>70.1</c:v>
                </c:pt>
                <c:pt idx="90">
                  <c:v>51.199999999999996</c:v>
                </c:pt>
                <c:pt idx="91">
                  <c:v>51.199999999999996</c:v>
                </c:pt>
                <c:pt idx="92">
                  <c:v>51.199999999999996</c:v>
                </c:pt>
                <c:pt idx="93">
                  <c:v>25.537209302325582</c:v>
                </c:pt>
                <c:pt idx="94">
                  <c:v>25.537209302325582</c:v>
                </c:pt>
                <c:pt idx="95">
                  <c:v>25.537209302325582</c:v>
                </c:pt>
                <c:pt idx="96">
                  <c:v>23.637209302325584</c:v>
                </c:pt>
                <c:pt idx="97">
                  <c:v>23.637209302325584</c:v>
                </c:pt>
                <c:pt idx="98">
                  <c:v>23.637209302325584</c:v>
                </c:pt>
                <c:pt idx="99">
                  <c:v>23.637209302325584</c:v>
                </c:pt>
                <c:pt idx="100">
                  <c:v>23.637209302325584</c:v>
                </c:pt>
                <c:pt idx="101">
                  <c:v>23.637209302325584</c:v>
                </c:pt>
                <c:pt idx="102">
                  <c:v>23.637209302325584</c:v>
                </c:pt>
                <c:pt idx="103">
                  <c:v>23.637209302325584</c:v>
                </c:pt>
                <c:pt idx="104">
                  <c:v>23.637209302325584</c:v>
                </c:pt>
              </c:numCache>
            </c:numRef>
          </c:yVal>
          <c:smooth val="0"/>
        </c:ser>
        <c:ser>
          <c:idx val="0"/>
          <c:order val="4"/>
          <c:tx>
            <c:v>Axes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Panels!$R$2:$R$6</c:f>
              <c:numCach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80</c:v>
                </c:pt>
              </c:numCache>
            </c:numRef>
          </c:xVal>
          <c:yVal>
            <c:numRef>
              <c:f>Panels!$S$2:$S$6</c:f>
              <c:numCache>
                <c:ptCount val="5"/>
                <c:pt idx="0">
                  <c:v>-5</c:v>
                </c:pt>
                <c:pt idx="1">
                  <c:v>80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</c:ser>
        <c:ser>
          <c:idx val="3"/>
          <c:order val="5"/>
          <c:tx>
            <c:v>Guides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Guides!$F$2:$F$28</c:f>
              <c:numCach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Guides!$G$2:$G$28</c:f>
              <c:numCach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0495352"/>
        <c:axId val="7587257"/>
      </c:scatterChart>
      <c:valAx>
        <c:axId val="6049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7587257"/>
        <c:crosses val="autoZero"/>
        <c:crossBetween val="midCat"/>
        <c:dispUnits/>
      </c:valAx>
      <c:valAx>
        <c:axId val="7587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>
            <c:manualLayout>
              <c:xMode val="factor"/>
              <c:yMode val="factor"/>
              <c:x val="-0.01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0495352"/>
        <c:crosses val="autoZero"/>
        <c:crossBetween val="midCat"/>
        <c:dispUnits/>
      </c:valAx>
      <c:spPr>
        <a:noFill/>
        <a:ln w="12700">
          <a:solidFill>
            <a:srgbClr val="000000"/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185"/>
          <c:w val="0.88"/>
          <c:h val="0.8715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Panels!$F$42:$F$94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1.9</c:v>
                </c:pt>
                <c:pt idx="3">
                  <c:v>1.9</c:v>
                </c:pt>
                <c:pt idx="4">
                  <c:v>0</c:v>
                </c:pt>
                <c:pt idx="6">
                  <c:v>78.1</c:v>
                </c:pt>
                <c:pt idx="7">
                  <c:v>78.1</c:v>
                </c:pt>
                <c:pt idx="8">
                  <c:v>80</c:v>
                </c:pt>
                <c:pt idx="9">
                  <c:v>80</c:v>
                </c:pt>
                <c:pt idx="10">
                  <c:v>78.1</c:v>
                </c:pt>
                <c:pt idx="12">
                  <c:v>80</c:v>
                </c:pt>
                <c:pt idx="13">
                  <c:v>0</c:v>
                </c:pt>
                <c:pt idx="14">
                  <c:v>0</c:v>
                </c:pt>
                <c:pt idx="15">
                  <c:v>80</c:v>
                </c:pt>
                <c:pt idx="16">
                  <c:v>80</c:v>
                </c:pt>
                <c:pt idx="18">
                  <c:v>0</c:v>
                </c:pt>
                <c:pt idx="19">
                  <c:v>78.1</c:v>
                </c:pt>
                <c:pt idx="20">
                  <c:v>78.1</c:v>
                </c:pt>
                <c:pt idx="21">
                  <c:v>0</c:v>
                </c:pt>
                <c:pt idx="22">
                  <c:v>0</c:v>
                </c:pt>
                <c:pt idx="24">
                  <c:v>1.9</c:v>
                </c:pt>
                <c:pt idx="25">
                  <c:v>78.1</c:v>
                </c:pt>
                <c:pt idx="26">
                  <c:v>78.1</c:v>
                </c:pt>
                <c:pt idx="27">
                  <c:v>1.9</c:v>
                </c:pt>
                <c:pt idx="28">
                  <c:v>1.9</c:v>
                </c:pt>
                <c:pt idx="30">
                  <c:v>23.637209302325584</c:v>
                </c:pt>
                <c:pt idx="31">
                  <c:v>23.637209302325584</c:v>
                </c:pt>
                <c:pt idx="32">
                  <c:v>25.537209302325582</c:v>
                </c:pt>
                <c:pt idx="33">
                  <c:v>25.537209302325582</c:v>
                </c:pt>
                <c:pt idx="34">
                  <c:v>23.637209302325584</c:v>
                </c:pt>
                <c:pt idx="36">
                  <c:v>25.537209302325582</c:v>
                </c:pt>
                <c:pt idx="37">
                  <c:v>25.537209302325582</c:v>
                </c:pt>
                <c:pt idx="38">
                  <c:v>60.179069767441874</c:v>
                </c:pt>
                <c:pt idx="39">
                  <c:v>60.179069767441874</c:v>
                </c:pt>
                <c:pt idx="40">
                  <c:v>25.537209302325582</c:v>
                </c:pt>
                <c:pt idx="42">
                  <c:v>60.179069767441874</c:v>
                </c:pt>
                <c:pt idx="43">
                  <c:v>61.37906976744188</c:v>
                </c:pt>
                <c:pt idx="44">
                  <c:v>61.37906976744188</c:v>
                </c:pt>
                <c:pt idx="45">
                  <c:v>60.179069767441874</c:v>
                </c:pt>
                <c:pt idx="46">
                  <c:v>60.179069767441874</c:v>
                </c:pt>
                <c:pt idx="48">
                  <c:v>42.258139534883725</c:v>
                </c:pt>
                <c:pt idx="49">
                  <c:v>43.45813953488373</c:v>
                </c:pt>
                <c:pt idx="50">
                  <c:v>43.45813953488373</c:v>
                </c:pt>
                <c:pt idx="51">
                  <c:v>42.258139534883725</c:v>
                </c:pt>
                <c:pt idx="52">
                  <c:v>42.258139534883725</c:v>
                </c:pt>
              </c:numCache>
            </c:numRef>
          </c:xVal>
          <c:yVal>
            <c:numRef>
              <c:f>Panels!$G$42:$G$94</c:f>
              <c:numCache>
                <c:ptCount val="53"/>
                <c:pt idx="0">
                  <c:v>72</c:v>
                </c:pt>
                <c:pt idx="1">
                  <c:v>23.637209302325584</c:v>
                </c:pt>
                <c:pt idx="2">
                  <c:v>23.637209302325584</c:v>
                </c:pt>
                <c:pt idx="3">
                  <c:v>72</c:v>
                </c:pt>
                <c:pt idx="4">
                  <c:v>72</c:v>
                </c:pt>
                <c:pt idx="6">
                  <c:v>72</c:v>
                </c:pt>
                <c:pt idx="7">
                  <c:v>0</c:v>
                </c:pt>
                <c:pt idx="8">
                  <c:v>0</c:v>
                </c:pt>
                <c:pt idx="9">
                  <c:v>72</c:v>
                </c:pt>
                <c:pt idx="10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0</c:v>
                </c:pt>
                <c:pt idx="15">
                  <c:v>0</c:v>
                </c:pt>
                <c:pt idx="16">
                  <c:v>72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72</c:v>
                </c:pt>
                <c:pt idx="25">
                  <c:v>72</c:v>
                </c:pt>
                <c:pt idx="26">
                  <c:v>70.1</c:v>
                </c:pt>
                <c:pt idx="27">
                  <c:v>70.1</c:v>
                </c:pt>
                <c:pt idx="28">
                  <c:v>72</c:v>
                </c:pt>
                <c:pt idx="30">
                  <c:v>18.62093023255814</c:v>
                </c:pt>
                <c:pt idx="31">
                  <c:v>70.1</c:v>
                </c:pt>
                <c:pt idx="32">
                  <c:v>70.1</c:v>
                </c:pt>
                <c:pt idx="33">
                  <c:v>18.62093023255814</c:v>
                </c:pt>
                <c:pt idx="34">
                  <c:v>18.62093023255814</c:v>
                </c:pt>
                <c:pt idx="36">
                  <c:v>18.62093023255814</c:v>
                </c:pt>
                <c:pt idx="37">
                  <c:v>19.82093023255814</c:v>
                </c:pt>
                <c:pt idx="38">
                  <c:v>19.82093023255814</c:v>
                </c:pt>
                <c:pt idx="39">
                  <c:v>18.62093023255814</c:v>
                </c:pt>
                <c:pt idx="40">
                  <c:v>18.62093023255814</c:v>
                </c:pt>
                <c:pt idx="42">
                  <c:v>18.62093023255814</c:v>
                </c:pt>
                <c:pt idx="43">
                  <c:v>18.62093023255814</c:v>
                </c:pt>
                <c:pt idx="44">
                  <c:v>53.37906976744185</c:v>
                </c:pt>
                <c:pt idx="45">
                  <c:v>53.37906976744185</c:v>
                </c:pt>
                <c:pt idx="46">
                  <c:v>18.62093023255814</c:v>
                </c:pt>
                <c:pt idx="48">
                  <c:v>70.1</c:v>
                </c:pt>
                <c:pt idx="49">
                  <c:v>70.1</c:v>
                </c:pt>
                <c:pt idx="50">
                  <c:v>36.54186046511629</c:v>
                </c:pt>
                <c:pt idx="51">
                  <c:v>36.54186046511629</c:v>
                </c:pt>
                <c:pt idx="52">
                  <c:v>70.1</c:v>
                </c:pt>
              </c:numCache>
            </c:numRef>
          </c:yVal>
          <c:smooth val="0"/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Path!$F$19:$F$126</c:f>
              <c:numCache>
                <c:ptCount val="108"/>
                <c:pt idx="0">
                  <c:v>25.537209302325582</c:v>
                </c:pt>
                <c:pt idx="1">
                  <c:v>42.258139534883725</c:v>
                </c:pt>
                <c:pt idx="3">
                  <c:v>25.537209302325582</c:v>
                </c:pt>
                <c:pt idx="4">
                  <c:v>42.258139534883725</c:v>
                </c:pt>
                <c:pt idx="6">
                  <c:v>25.537209302325582</c:v>
                </c:pt>
                <c:pt idx="7">
                  <c:v>42.258139534883725</c:v>
                </c:pt>
                <c:pt idx="9">
                  <c:v>25.537209302325582</c:v>
                </c:pt>
                <c:pt idx="10">
                  <c:v>42.258139534883725</c:v>
                </c:pt>
                <c:pt idx="12">
                  <c:v>33.89767441860465</c:v>
                </c:pt>
                <c:pt idx="13">
                  <c:v>42.258139534883725</c:v>
                </c:pt>
                <c:pt idx="15">
                  <c:v>42.258139534883725</c:v>
                </c:pt>
                <c:pt idx="16">
                  <c:v>42.258139534883725</c:v>
                </c:pt>
                <c:pt idx="18">
                  <c:v>43.45813953488373</c:v>
                </c:pt>
                <c:pt idx="19">
                  <c:v>43.45813953488373</c:v>
                </c:pt>
                <c:pt idx="21">
                  <c:v>51.8186046511628</c:v>
                </c:pt>
                <c:pt idx="22">
                  <c:v>43.45813953488373</c:v>
                </c:pt>
                <c:pt idx="24">
                  <c:v>60.179069767441874</c:v>
                </c:pt>
                <c:pt idx="25">
                  <c:v>43.45813953488373</c:v>
                </c:pt>
                <c:pt idx="27">
                  <c:v>60.179069767441874</c:v>
                </c:pt>
                <c:pt idx="28">
                  <c:v>43.45813953488373</c:v>
                </c:pt>
                <c:pt idx="30">
                  <c:v>43.45813953488373</c:v>
                </c:pt>
                <c:pt idx="31">
                  <c:v>60.179069767441874</c:v>
                </c:pt>
                <c:pt idx="33">
                  <c:v>43.45813953488373</c:v>
                </c:pt>
                <c:pt idx="34">
                  <c:v>60.179069767441874</c:v>
                </c:pt>
                <c:pt idx="36">
                  <c:v>51.8186046511628</c:v>
                </c:pt>
                <c:pt idx="37">
                  <c:v>60.179069767441874</c:v>
                </c:pt>
                <c:pt idx="39">
                  <c:v>60.179069767441874</c:v>
                </c:pt>
                <c:pt idx="40">
                  <c:v>60.179069767441874</c:v>
                </c:pt>
                <c:pt idx="42">
                  <c:v>61.37906976744188</c:v>
                </c:pt>
                <c:pt idx="43">
                  <c:v>61.37906976744188</c:v>
                </c:pt>
                <c:pt idx="45">
                  <c:v>69.73953488372094</c:v>
                </c:pt>
                <c:pt idx="46">
                  <c:v>61.37906976744188</c:v>
                </c:pt>
                <c:pt idx="48">
                  <c:v>78.1</c:v>
                </c:pt>
                <c:pt idx="49">
                  <c:v>61.37906976744188</c:v>
                </c:pt>
                <c:pt idx="51">
                  <c:v>78.1</c:v>
                </c:pt>
                <c:pt idx="52">
                  <c:v>61.37906976744188</c:v>
                </c:pt>
                <c:pt idx="54">
                  <c:v>78.1</c:v>
                </c:pt>
                <c:pt idx="55">
                  <c:v>61.37906976744188</c:v>
                </c:pt>
                <c:pt idx="57">
                  <c:v>78.1</c:v>
                </c:pt>
                <c:pt idx="58">
                  <c:v>61.37906976744188</c:v>
                </c:pt>
                <c:pt idx="60">
                  <c:v>69.73953488372094</c:v>
                </c:pt>
                <c:pt idx="61">
                  <c:v>61.37906976744188</c:v>
                </c:pt>
                <c:pt idx="63">
                  <c:v>61.37906976744188</c:v>
                </c:pt>
                <c:pt idx="64">
                  <c:v>61.37906976744188</c:v>
                </c:pt>
                <c:pt idx="66">
                  <c:v>23.637209302325584</c:v>
                </c:pt>
                <c:pt idx="67">
                  <c:v>23.637209302325584</c:v>
                </c:pt>
                <c:pt idx="72">
                  <c:v>23.637209302325584</c:v>
                </c:pt>
                <c:pt idx="73">
                  <c:v>23.637209302325584</c:v>
                </c:pt>
                <c:pt idx="75">
                  <c:v>12.768604651162791</c:v>
                </c:pt>
                <c:pt idx="76">
                  <c:v>12.768604651162791</c:v>
                </c:pt>
                <c:pt idx="78">
                  <c:v>1.9</c:v>
                </c:pt>
                <c:pt idx="79">
                  <c:v>1.9</c:v>
                </c:pt>
                <c:pt idx="81">
                  <c:v>0</c:v>
                </c:pt>
                <c:pt idx="82">
                  <c:v>0</c:v>
                </c:pt>
                <c:pt idx="87">
                  <c:v>1.9</c:v>
                </c:pt>
                <c:pt idx="88">
                  <c:v>23.637209302325584</c:v>
                </c:pt>
                <c:pt idx="90">
                  <c:v>1.9</c:v>
                </c:pt>
                <c:pt idx="91">
                  <c:v>23.637209302325584</c:v>
                </c:pt>
                <c:pt idx="93">
                  <c:v>1.9</c:v>
                </c:pt>
                <c:pt idx="94">
                  <c:v>23.637209302325584</c:v>
                </c:pt>
                <c:pt idx="96">
                  <c:v>1.9</c:v>
                </c:pt>
                <c:pt idx="97">
                  <c:v>23.637209302325584</c:v>
                </c:pt>
                <c:pt idx="99">
                  <c:v>1.9</c:v>
                </c:pt>
                <c:pt idx="100">
                  <c:v>23.637209302325584</c:v>
                </c:pt>
                <c:pt idx="102">
                  <c:v>1.9</c:v>
                </c:pt>
                <c:pt idx="103">
                  <c:v>23.637209302325584</c:v>
                </c:pt>
              </c:numCache>
            </c:numRef>
          </c:xVal>
          <c:yVal>
            <c:numRef>
              <c:f>Path!$G$19:$G$126</c:f>
              <c:numCache>
                <c:ptCount val="108"/>
                <c:pt idx="0">
                  <c:v>70.1</c:v>
                </c:pt>
                <c:pt idx="1">
                  <c:v>70.1</c:v>
                </c:pt>
                <c:pt idx="3">
                  <c:v>51.199999999999996</c:v>
                </c:pt>
                <c:pt idx="4">
                  <c:v>51.199999999999996</c:v>
                </c:pt>
                <c:pt idx="6">
                  <c:v>36.54186046511629</c:v>
                </c:pt>
                <c:pt idx="7">
                  <c:v>36.54186046511629</c:v>
                </c:pt>
                <c:pt idx="9">
                  <c:v>28.181395348837214</c:v>
                </c:pt>
                <c:pt idx="10">
                  <c:v>36.54186046511629</c:v>
                </c:pt>
                <c:pt idx="12">
                  <c:v>19.82093023255814</c:v>
                </c:pt>
                <c:pt idx="13">
                  <c:v>36.54186046511629</c:v>
                </c:pt>
                <c:pt idx="15">
                  <c:v>19.82093023255814</c:v>
                </c:pt>
                <c:pt idx="16">
                  <c:v>36.54186046511629</c:v>
                </c:pt>
                <c:pt idx="18">
                  <c:v>19.82093023255814</c:v>
                </c:pt>
                <c:pt idx="19">
                  <c:v>36.54186046511629</c:v>
                </c:pt>
                <c:pt idx="21">
                  <c:v>19.82093023255814</c:v>
                </c:pt>
                <c:pt idx="22">
                  <c:v>36.54186046511629</c:v>
                </c:pt>
                <c:pt idx="24">
                  <c:v>28.181395348837214</c:v>
                </c:pt>
                <c:pt idx="25">
                  <c:v>36.54186046511629</c:v>
                </c:pt>
                <c:pt idx="27">
                  <c:v>36.54186046511629</c:v>
                </c:pt>
                <c:pt idx="28">
                  <c:v>36.54186046511629</c:v>
                </c:pt>
                <c:pt idx="30">
                  <c:v>53.37906976744185</c:v>
                </c:pt>
                <c:pt idx="31">
                  <c:v>53.37906976744185</c:v>
                </c:pt>
                <c:pt idx="33">
                  <c:v>61.73953488372092</c:v>
                </c:pt>
                <c:pt idx="34">
                  <c:v>53.37906976744185</c:v>
                </c:pt>
                <c:pt idx="36">
                  <c:v>70.1</c:v>
                </c:pt>
                <c:pt idx="37">
                  <c:v>53.37906976744185</c:v>
                </c:pt>
                <c:pt idx="39">
                  <c:v>70.1</c:v>
                </c:pt>
                <c:pt idx="40">
                  <c:v>53.37906976744185</c:v>
                </c:pt>
                <c:pt idx="42">
                  <c:v>70.1</c:v>
                </c:pt>
                <c:pt idx="43">
                  <c:v>53.37906976744185</c:v>
                </c:pt>
                <c:pt idx="45">
                  <c:v>70.1</c:v>
                </c:pt>
                <c:pt idx="46">
                  <c:v>53.37906976744185</c:v>
                </c:pt>
                <c:pt idx="48">
                  <c:v>61.73953488372092</c:v>
                </c:pt>
                <c:pt idx="49">
                  <c:v>53.37906976744185</c:v>
                </c:pt>
                <c:pt idx="51">
                  <c:v>53.37906976744185</c:v>
                </c:pt>
                <c:pt idx="52">
                  <c:v>53.37906976744185</c:v>
                </c:pt>
                <c:pt idx="54">
                  <c:v>18.62093023255814</c:v>
                </c:pt>
                <c:pt idx="55">
                  <c:v>18.62093023255814</c:v>
                </c:pt>
                <c:pt idx="57">
                  <c:v>10.26046511627907</c:v>
                </c:pt>
                <c:pt idx="58">
                  <c:v>18.62093023255814</c:v>
                </c:pt>
                <c:pt idx="60">
                  <c:v>1.9</c:v>
                </c:pt>
                <c:pt idx="61">
                  <c:v>18.62093023255814</c:v>
                </c:pt>
                <c:pt idx="63">
                  <c:v>1.9</c:v>
                </c:pt>
                <c:pt idx="64">
                  <c:v>18.62093023255814</c:v>
                </c:pt>
                <c:pt idx="66">
                  <c:v>1.9</c:v>
                </c:pt>
                <c:pt idx="67">
                  <c:v>18.62093023255814</c:v>
                </c:pt>
                <c:pt idx="72">
                  <c:v>1.9</c:v>
                </c:pt>
                <c:pt idx="73">
                  <c:v>23.637209302325584</c:v>
                </c:pt>
                <c:pt idx="75">
                  <c:v>1.9</c:v>
                </c:pt>
                <c:pt idx="76">
                  <c:v>23.637209302325584</c:v>
                </c:pt>
                <c:pt idx="78">
                  <c:v>1.9</c:v>
                </c:pt>
                <c:pt idx="79">
                  <c:v>23.637209302325584</c:v>
                </c:pt>
                <c:pt idx="81">
                  <c:v>1.9</c:v>
                </c:pt>
                <c:pt idx="82">
                  <c:v>23.637209302325584</c:v>
                </c:pt>
                <c:pt idx="87">
                  <c:v>70.1</c:v>
                </c:pt>
                <c:pt idx="88">
                  <c:v>70.1</c:v>
                </c:pt>
                <c:pt idx="90">
                  <c:v>51.199999999999996</c:v>
                </c:pt>
                <c:pt idx="91">
                  <c:v>51.199999999999996</c:v>
                </c:pt>
                <c:pt idx="93">
                  <c:v>25.537209302325582</c:v>
                </c:pt>
                <c:pt idx="94">
                  <c:v>25.537209302325582</c:v>
                </c:pt>
                <c:pt idx="96">
                  <c:v>23.637209302325584</c:v>
                </c:pt>
                <c:pt idx="97">
                  <c:v>23.637209302325584</c:v>
                </c:pt>
                <c:pt idx="99">
                  <c:v>23.637209302325584</c:v>
                </c:pt>
                <c:pt idx="100">
                  <c:v>23.637209302325584</c:v>
                </c:pt>
                <c:pt idx="102">
                  <c:v>23.637209302325584</c:v>
                </c:pt>
                <c:pt idx="103">
                  <c:v>23.637209302325584</c:v>
                </c:pt>
              </c:numCache>
            </c:numRef>
          </c:yVal>
          <c:smooth val="0"/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Panels!$F$4:$F$37</c:f>
              <c:numCache>
                <c:ptCount val="34"/>
                <c:pt idx="0">
                  <c:v>23.637209302325584</c:v>
                </c:pt>
                <c:pt idx="1">
                  <c:v>23.637209302325584</c:v>
                </c:pt>
                <c:pt idx="2">
                  <c:v>10.937209302325584</c:v>
                </c:pt>
                <c:pt idx="3">
                  <c:v>10.937209302325584</c:v>
                </c:pt>
                <c:pt idx="4">
                  <c:v>16.017209302325583</c:v>
                </c:pt>
                <c:pt idx="5">
                  <c:v>23.637209302325584</c:v>
                </c:pt>
                <c:pt idx="7">
                  <c:v>23.637209302325584</c:v>
                </c:pt>
                <c:pt idx="8">
                  <c:v>23.637209302325584</c:v>
                </c:pt>
                <c:pt idx="9">
                  <c:v>10.937209302325584</c:v>
                </c:pt>
                <c:pt idx="10">
                  <c:v>10.937209302325584</c:v>
                </c:pt>
                <c:pt idx="11">
                  <c:v>16.017209302325583</c:v>
                </c:pt>
                <c:pt idx="12">
                  <c:v>23.637209302325584</c:v>
                </c:pt>
                <c:pt idx="14">
                  <c:v>16.017209302325583</c:v>
                </c:pt>
                <c:pt idx="15">
                  <c:v>16.017209302325583</c:v>
                </c:pt>
                <c:pt idx="18">
                  <c:v>23.637209302325584</c:v>
                </c:pt>
                <c:pt idx="19">
                  <c:v>23.637209302325584</c:v>
                </c:pt>
                <c:pt idx="20">
                  <c:v>10.937209302325584</c:v>
                </c:pt>
                <c:pt idx="21">
                  <c:v>10.937209302325584</c:v>
                </c:pt>
                <c:pt idx="22">
                  <c:v>16.017209302325583</c:v>
                </c:pt>
                <c:pt idx="23">
                  <c:v>23.637209302325584</c:v>
                </c:pt>
                <c:pt idx="25">
                  <c:v>23.637209302325584</c:v>
                </c:pt>
                <c:pt idx="26">
                  <c:v>23.637209302325584</c:v>
                </c:pt>
                <c:pt idx="27">
                  <c:v>10.937209302325584</c:v>
                </c:pt>
                <c:pt idx="28">
                  <c:v>10.937209302325584</c:v>
                </c:pt>
                <c:pt idx="29">
                  <c:v>16.017209302325583</c:v>
                </c:pt>
                <c:pt idx="30">
                  <c:v>23.637209302325584</c:v>
                </c:pt>
                <c:pt idx="32">
                  <c:v>16.017209302325583</c:v>
                </c:pt>
                <c:pt idx="33">
                  <c:v>16.017209302325583</c:v>
                </c:pt>
              </c:numCache>
            </c:numRef>
          </c:xVal>
          <c:yVal>
            <c:numRef>
              <c:f>Panels!$G$4:$G$37</c:f>
              <c:numCache>
                <c:ptCount val="34"/>
                <c:pt idx="0">
                  <c:v>67.1</c:v>
                </c:pt>
                <c:pt idx="1">
                  <c:v>51.199999999999996</c:v>
                </c:pt>
                <c:pt idx="2">
                  <c:v>51.199999999999996</c:v>
                </c:pt>
                <c:pt idx="3">
                  <c:v>60.699999999999996</c:v>
                </c:pt>
                <c:pt idx="4">
                  <c:v>60.699999999999996</c:v>
                </c:pt>
                <c:pt idx="5">
                  <c:v>65.14999999999999</c:v>
                </c:pt>
                <c:pt idx="7">
                  <c:v>35.3</c:v>
                </c:pt>
                <c:pt idx="8">
                  <c:v>51.199999999999996</c:v>
                </c:pt>
                <c:pt idx="9">
                  <c:v>51.199999999999996</c:v>
                </c:pt>
                <c:pt idx="10">
                  <c:v>41.699999999999996</c:v>
                </c:pt>
                <c:pt idx="11">
                  <c:v>41.699999999999996</c:v>
                </c:pt>
                <c:pt idx="12">
                  <c:v>37.25</c:v>
                </c:pt>
                <c:pt idx="14">
                  <c:v>41.699999999999996</c:v>
                </c:pt>
                <c:pt idx="15">
                  <c:v>60.699999999999996</c:v>
                </c:pt>
                <c:pt idx="18">
                  <c:v>67.1</c:v>
                </c:pt>
                <c:pt idx="19">
                  <c:v>51.199999999999996</c:v>
                </c:pt>
                <c:pt idx="20">
                  <c:v>51.199999999999996</c:v>
                </c:pt>
                <c:pt idx="21">
                  <c:v>60.699999999999996</c:v>
                </c:pt>
                <c:pt idx="22">
                  <c:v>60.699999999999996</c:v>
                </c:pt>
                <c:pt idx="23">
                  <c:v>65.14999999999999</c:v>
                </c:pt>
                <c:pt idx="25">
                  <c:v>35.3</c:v>
                </c:pt>
                <c:pt idx="26">
                  <c:v>51.199999999999996</c:v>
                </c:pt>
                <c:pt idx="27">
                  <c:v>51.199999999999996</c:v>
                </c:pt>
                <c:pt idx="28">
                  <c:v>41.699999999999996</c:v>
                </c:pt>
                <c:pt idx="29">
                  <c:v>41.699999999999996</c:v>
                </c:pt>
                <c:pt idx="30">
                  <c:v>37.25</c:v>
                </c:pt>
                <c:pt idx="32">
                  <c:v>41.699999999999996</c:v>
                </c:pt>
                <c:pt idx="33">
                  <c:v>60.699999999999996</c:v>
                </c:pt>
              </c:numCache>
            </c:numRef>
          </c:yVal>
          <c:smooth val="0"/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Path!$J$19:$J$126</c:f>
              <c:numCache>
                <c:ptCount val="108"/>
                <c:pt idx="0">
                  <c:v>33.89767441860465</c:v>
                </c:pt>
                <c:pt idx="1">
                  <c:v>33.89767441860465</c:v>
                </c:pt>
                <c:pt idx="2">
                  <c:v>33.89767441860465</c:v>
                </c:pt>
                <c:pt idx="3">
                  <c:v>33.89767441860465</c:v>
                </c:pt>
                <c:pt idx="4">
                  <c:v>33.89767441860465</c:v>
                </c:pt>
                <c:pt idx="5">
                  <c:v>33.89767441860465</c:v>
                </c:pt>
                <c:pt idx="6">
                  <c:v>33.89767441860465</c:v>
                </c:pt>
                <c:pt idx="7">
                  <c:v>33.89767441860465</c:v>
                </c:pt>
                <c:pt idx="8">
                  <c:v>33.89767441860465</c:v>
                </c:pt>
                <c:pt idx="9">
                  <c:v>33.89767441860465</c:v>
                </c:pt>
                <c:pt idx="10">
                  <c:v>33.89767441860465</c:v>
                </c:pt>
                <c:pt idx="11">
                  <c:v>33.89767441860465</c:v>
                </c:pt>
                <c:pt idx="12">
                  <c:v>38.07790697674419</c:v>
                </c:pt>
                <c:pt idx="13">
                  <c:v>38.07790697674419</c:v>
                </c:pt>
                <c:pt idx="14">
                  <c:v>38.07790697674419</c:v>
                </c:pt>
                <c:pt idx="15">
                  <c:v>42.258139534883725</c:v>
                </c:pt>
                <c:pt idx="16">
                  <c:v>42.258139534883725</c:v>
                </c:pt>
                <c:pt idx="17">
                  <c:v>42.258139534883725</c:v>
                </c:pt>
                <c:pt idx="18">
                  <c:v>43.45813953488373</c:v>
                </c:pt>
                <c:pt idx="19">
                  <c:v>43.45813953488373</c:v>
                </c:pt>
                <c:pt idx="20">
                  <c:v>43.45813953488373</c:v>
                </c:pt>
                <c:pt idx="21">
                  <c:v>47.638372093023264</c:v>
                </c:pt>
                <c:pt idx="22">
                  <c:v>47.638372093023264</c:v>
                </c:pt>
                <c:pt idx="23">
                  <c:v>47.638372093023264</c:v>
                </c:pt>
                <c:pt idx="24">
                  <c:v>51.8186046511628</c:v>
                </c:pt>
                <c:pt idx="25">
                  <c:v>51.8186046511628</c:v>
                </c:pt>
                <c:pt idx="26">
                  <c:v>51.8186046511628</c:v>
                </c:pt>
                <c:pt idx="27">
                  <c:v>51.8186046511628</c:v>
                </c:pt>
                <c:pt idx="28">
                  <c:v>51.8186046511628</c:v>
                </c:pt>
                <c:pt idx="29">
                  <c:v>51.8186046511628</c:v>
                </c:pt>
                <c:pt idx="30">
                  <c:v>51.8186046511628</c:v>
                </c:pt>
                <c:pt idx="31">
                  <c:v>51.8186046511628</c:v>
                </c:pt>
                <c:pt idx="32">
                  <c:v>51.8186046511628</c:v>
                </c:pt>
                <c:pt idx="33">
                  <c:v>51.8186046511628</c:v>
                </c:pt>
                <c:pt idx="34">
                  <c:v>51.8186046511628</c:v>
                </c:pt>
                <c:pt idx="35">
                  <c:v>51.8186046511628</c:v>
                </c:pt>
                <c:pt idx="36">
                  <c:v>55.99883720930234</c:v>
                </c:pt>
                <c:pt idx="37">
                  <c:v>55.99883720930234</c:v>
                </c:pt>
                <c:pt idx="38">
                  <c:v>55.99883720930234</c:v>
                </c:pt>
                <c:pt idx="39">
                  <c:v>60.179069767441874</c:v>
                </c:pt>
                <c:pt idx="40">
                  <c:v>60.179069767441874</c:v>
                </c:pt>
                <c:pt idx="41">
                  <c:v>60.179069767441874</c:v>
                </c:pt>
                <c:pt idx="42">
                  <c:v>61.37906976744188</c:v>
                </c:pt>
                <c:pt idx="43">
                  <c:v>61.37906976744188</c:v>
                </c:pt>
                <c:pt idx="44">
                  <c:v>61.37906976744188</c:v>
                </c:pt>
                <c:pt idx="45">
                  <c:v>65.5593023255814</c:v>
                </c:pt>
                <c:pt idx="46">
                  <c:v>65.5593023255814</c:v>
                </c:pt>
                <c:pt idx="47">
                  <c:v>65.5593023255814</c:v>
                </c:pt>
                <c:pt idx="48">
                  <c:v>69.73953488372094</c:v>
                </c:pt>
                <c:pt idx="49">
                  <c:v>69.73953488372094</c:v>
                </c:pt>
                <c:pt idx="50">
                  <c:v>69.73953488372094</c:v>
                </c:pt>
                <c:pt idx="51">
                  <c:v>69.73953488372094</c:v>
                </c:pt>
                <c:pt idx="52">
                  <c:v>69.73953488372094</c:v>
                </c:pt>
                <c:pt idx="53">
                  <c:v>69.73953488372094</c:v>
                </c:pt>
                <c:pt idx="54">
                  <c:v>69.73953488372094</c:v>
                </c:pt>
                <c:pt idx="55">
                  <c:v>69.73953488372094</c:v>
                </c:pt>
                <c:pt idx="56">
                  <c:v>69.73953488372094</c:v>
                </c:pt>
                <c:pt idx="57">
                  <c:v>69.73953488372094</c:v>
                </c:pt>
                <c:pt idx="58">
                  <c:v>69.73953488372094</c:v>
                </c:pt>
                <c:pt idx="59">
                  <c:v>69.73953488372094</c:v>
                </c:pt>
                <c:pt idx="60">
                  <c:v>65.5593023255814</c:v>
                </c:pt>
                <c:pt idx="61">
                  <c:v>65.5593023255814</c:v>
                </c:pt>
                <c:pt idx="62">
                  <c:v>65.5593023255814</c:v>
                </c:pt>
                <c:pt idx="63">
                  <c:v>61.37906976744188</c:v>
                </c:pt>
                <c:pt idx="64">
                  <c:v>61.37906976744188</c:v>
                </c:pt>
                <c:pt idx="65">
                  <c:v>61.37906976744188</c:v>
                </c:pt>
                <c:pt idx="66">
                  <c:v>23.637209302325584</c:v>
                </c:pt>
                <c:pt idx="67">
                  <c:v>23.637209302325584</c:v>
                </c:pt>
                <c:pt idx="68">
                  <c:v>23.637209302325584</c:v>
                </c:pt>
                <c:pt idx="72">
                  <c:v>23.637209302325584</c:v>
                </c:pt>
                <c:pt idx="73">
                  <c:v>23.637209302325584</c:v>
                </c:pt>
                <c:pt idx="74">
                  <c:v>23.637209302325584</c:v>
                </c:pt>
                <c:pt idx="75">
                  <c:v>12.768604651162791</c:v>
                </c:pt>
                <c:pt idx="76">
                  <c:v>12.768604651162791</c:v>
                </c:pt>
                <c:pt idx="77">
                  <c:v>12.768604651162791</c:v>
                </c:pt>
                <c:pt idx="78">
                  <c:v>1.9</c:v>
                </c:pt>
                <c:pt idx="79">
                  <c:v>1.9</c:v>
                </c:pt>
                <c:pt idx="80">
                  <c:v>1.9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7">
                  <c:v>12.768604651162791</c:v>
                </c:pt>
                <c:pt idx="88">
                  <c:v>12.768604651162791</c:v>
                </c:pt>
                <c:pt idx="89">
                  <c:v>12.768604651162791</c:v>
                </c:pt>
                <c:pt idx="90">
                  <c:v>12.768604651162791</c:v>
                </c:pt>
                <c:pt idx="91">
                  <c:v>12.768604651162791</c:v>
                </c:pt>
                <c:pt idx="92">
                  <c:v>12.768604651162791</c:v>
                </c:pt>
                <c:pt idx="93">
                  <c:v>12.768604651162791</c:v>
                </c:pt>
                <c:pt idx="94">
                  <c:v>12.768604651162791</c:v>
                </c:pt>
                <c:pt idx="95">
                  <c:v>12.768604651162791</c:v>
                </c:pt>
                <c:pt idx="96">
                  <c:v>12.768604651162791</c:v>
                </c:pt>
                <c:pt idx="97">
                  <c:v>12.768604651162791</c:v>
                </c:pt>
                <c:pt idx="98">
                  <c:v>12.768604651162791</c:v>
                </c:pt>
                <c:pt idx="99">
                  <c:v>12.768604651162791</c:v>
                </c:pt>
                <c:pt idx="100">
                  <c:v>12.768604651162791</c:v>
                </c:pt>
                <c:pt idx="101">
                  <c:v>12.768604651162791</c:v>
                </c:pt>
                <c:pt idx="102">
                  <c:v>12.768604651162791</c:v>
                </c:pt>
                <c:pt idx="103">
                  <c:v>12.768604651162791</c:v>
                </c:pt>
                <c:pt idx="104">
                  <c:v>12.768604651162791</c:v>
                </c:pt>
              </c:numCache>
            </c:numRef>
          </c:xVal>
          <c:yVal>
            <c:numRef>
              <c:f>Path!$K$19:$K$126</c:f>
              <c:numCache>
                <c:ptCount val="108"/>
                <c:pt idx="0">
                  <c:v>70.1</c:v>
                </c:pt>
                <c:pt idx="1">
                  <c:v>70.1</c:v>
                </c:pt>
                <c:pt idx="2">
                  <c:v>70.1</c:v>
                </c:pt>
                <c:pt idx="3">
                  <c:v>51.199999999999996</c:v>
                </c:pt>
                <c:pt idx="4">
                  <c:v>51.199999999999996</c:v>
                </c:pt>
                <c:pt idx="5">
                  <c:v>51.199999999999996</c:v>
                </c:pt>
                <c:pt idx="6">
                  <c:v>36.54186046511629</c:v>
                </c:pt>
                <c:pt idx="7">
                  <c:v>36.54186046511629</c:v>
                </c:pt>
                <c:pt idx="8">
                  <c:v>36.54186046511629</c:v>
                </c:pt>
                <c:pt idx="9">
                  <c:v>32.36162790697675</c:v>
                </c:pt>
                <c:pt idx="10">
                  <c:v>32.36162790697675</c:v>
                </c:pt>
                <c:pt idx="11">
                  <c:v>32.36162790697675</c:v>
                </c:pt>
                <c:pt idx="12">
                  <c:v>28.181395348837214</c:v>
                </c:pt>
                <c:pt idx="13">
                  <c:v>28.181395348837214</c:v>
                </c:pt>
                <c:pt idx="14">
                  <c:v>28.181395348837214</c:v>
                </c:pt>
                <c:pt idx="15">
                  <c:v>28.181395348837214</c:v>
                </c:pt>
                <c:pt idx="16">
                  <c:v>28.181395348837214</c:v>
                </c:pt>
                <c:pt idx="17">
                  <c:v>28.181395348837214</c:v>
                </c:pt>
                <c:pt idx="18">
                  <c:v>28.181395348837214</c:v>
                </c:pt>
                <c:pt idx="19">
                  <c:v>28.181395348837214</c:v>
                </c:pt>
                <c:pt idx="20">
                  <c:v>28.181395348837214</c:v>
                </c:pt>
                <c:pt idx="21">
                  <c:v>28.181395348837214</c:v>
                </c:pt>
                <c:pt idx="22">
                  <c:v>28.181395348837214</c:v>
                </c:pt>
                <c:pt idx="23">
                  <c:v>28.181395348837214</c:v>
                </c:pt>
                <c:pt idx="24">
                  <c:v>32.36162790697675</c:v>
                </c:pt>
                <c:pt idx="25">
                  <c:v>32.36162790697675</c:v>
                </c:pt>
                <c:pt idx="26">
                  <c:v>32.36162790697675</c:v>
                </c:pt>
                <c:pt idx="27">
                  <c:v>36.54186046511629</c:v>
                </c:pt>
                <c:pt idx="28">
                  <c:v>36.54186046511629</c:v>
                </c:pt>
                <c:pt idx="29">
                  <c:v>36.54186046511629</c:v>
                </c:pt>
                <c:pt idx="30">
                  <c:v>53.37906976744185</c:v>
                </c:pt>
                <c:pt idx="31">
                  <c:v>53.37906976744185</c:v>
                </c:pt>
                <c:pt idx="32">
                  <c:v>53.37906976744185</c:v>
                </c:pt>
                <c:pt idx="33">
                  <c:v>57.559302325581385</c:v>
                </c:pt>
                <c:pt idx="34">
                  <c:v>57.559302325581385</c:v>
                </c:pt>
                <c:pt idx="35">
                  <c:v>57.559302325581385</c:v>
                </c:pt>
                <c:pt idx="36">
                  <c:v>61.73953488372092</c:v>
                </c:pt>
                <c:pt idx="37">
                  <c:v>61.73953488372092</c:v>
                </c:pt>
                <c:pt idx="38">
                  <c:v>61.73953488372092</c:v>
                </c:pt>
                <c:pt idx="39">
                  <c:v>61.73953488372092</c:v>
                </c:pt>
                <c:pt idx="40">
                  <c:v>61.73953488372092</c:v>
                </c:pt>
                <c:pt idx="41">
                  <c:v>61.73953488372092</c:v>
                </c:pt>
                <c:pt idx="42">
                  <c:v>61.73953488372092</c:v>
                </c:pt>
                <c:pt idx="43">
                  <c:v>61.73953488372092</c:v>
                </c:pt>
                <c:pt idx="44">
                  <c:v>61.73953488372092</c:v>
                </c:pt>
                <c:pt idx="45">
                  <c:v>61.73953488372092</c:v>
                </c:pt>
                <c:pt idx="46">
                  <c:v>61.73953488372092</c:v>
                </c:pt>
                <c:pt idx="47">
                  <c:v>61.73953488372092</c:v>
                </c:pt>
                <c:pt idx="48">
                  <c:v>57.559302325581385</c:v>
                </c:pt>
                <c:pt idx="49">
                  <c:v>57.559302325581385</c:v>
                </c:pt>
                <c:pt idx="50">
                  <c:v>57.559302325581385</c:v>
                </c:pt>
                <c:pt idx="51">
                  <c:v>53.37906976744185</c:v>
                </c:pt>
                <c:pt idx="52">
                  <c:v>53.37906976744185</c:v>
                </c:pt>
                <c:pt idx="53">
                  <c:v>53.37906976744185</c:v>
                </c:pt>
                <c:pt idx="54">
                  <c:v>18.62093023255814</c:v>
                </c:pt>
                <c:pt idx="55">
                  <c:v>18.62093023255814</c:v>
                </c:pt>
                <c:pt idx="56">
                  <c:v>18.62093023255814</c:v>
                </c:pt>
                <c:pt idx="57">
                  <c:v>14.440697674418605</c:v>
                </c:pt>
                <c:pt idx="58">
                  <c:v>14.440697674418605</c:v>
                </c:pt>
                <c:pt idx="59">
                  <c:v>14.440697674418605</c:v>
                </c:pt>
                <c:pt idx="60">
                  <c:v>10.26046511627907</c:v>
                </c:pt>
                <c:pt idx="61">
                  <c:v>10.26046511627907</c:v>
                </c:pt>
                <c:pt idx="62">
                  <c:v>10.26046511627907</c:v>
                </c:pt>
                <c:pt idx="63">
                  <c:v>10.26046511627907</c:v>
                </c:pt>
                <c:pt idx="64">
                  <c:v>10.26046511627907</c:v>
                </c:pt>
                <c:pt idx="65">
                  <c:v>10.26046511627907</c:v>
                </c:pt>
                <c:pt idx="66">
                  <c:v>10.26046511627907</c:v>
                </c:pt>
                <c:pt idx="67">
                  <c:v>10.26046511627907</c:v>
                </c:pt>
                <c:pt idx="68">
                  <c:v>10.26046511627907</c:v>
                </c:pt>
                <c:pt idx="72">
                  <c:v>12.768604651162791</c:v>
                </c:pt>
                <c:pt idx="73">
                  <c:v>12.768604651162791</c:v>
                </c:pt>
                <c:pt idx="74">
                  <c:v>12.768604651162791</c:v>
                </c:pt>
                <c:pt idx="75">
                  <c:v>12.768604651162791</c:v>
                </c:pt>
                <c:pt idx="76">
                  <c:v>12.768604651162791</c:v>
                </c:pt>
                <c:pt idx="77">
                  <c:v>12.768604651162791</c:v>
                </c:pt>
                <c:pt idx="78">
                  <c:v>12.768604651162791</c:v>
                </c:pt>
                <c:pt idx="79">
                  <c:v>12.768604651162791</c:v>
                </c:pt>
                <c:pt idx="80">
                  <c:v>12.768604651162791</c:v>
                </c:pt>
                <c:pt idx="81">
                  <c:v>12.768604651162791</c:v>
                </c:pt>
                <c:pt idx="82">
                  <c:v>12.768604651162791</c:v>
                </c:pt>
                <c:pt idx="83">
                  <c:v>12.768604651162791</c:v>
                </c:pt>
                <c:pt idx="87">
                  <c:v>70.1</c:v>
                </c:pt>
                <c:pt idx="88">
                  <c:v>70.1</c:v>
                </c:pt>
                <c:pt idx="89">
                  <c:v>70.1</c:v>
                </c:pt>
                <c:pt idx="90">
                  <c:v>51.199999999999996</c:v>
                </c:pt>
                <c:pt idx="91">
                  <c:v>51.199999999999996</c:v>
                </c:pt>
                <c:pt idx="92">
                  <c:v>51.199999999999996</c:v>
                </c:pt>
                <c:pt idx="93">
                  <c:v>25.537209302325582</c:v>
                </c:pt>
                <c:pt idx="94">
                  <c:v>25.537209302325582</c:v>
                </c:pt>
                <c:pt idx="95">
                  <c:v>25.537209302325582</c:v>
                </c:pt>
                <c:pt idx="96">
                  <c:v>23.637209302325584</c:v>
                </c:pt>
                <c:pt idx="97">
                  <c:v>23.637209302325584</c:v>
                </c:pt>
                <c:pt idx="98">
                  <c:v>23.637209302325584</c:v>
                </c:pt>
                <c:pt idx="99">
                  <c:v>23.637209302325584</c:v>
                </c:pt>
                <c:pt idx="100">
                  <c:v>23.637209302325584</c:v>
                </c:pt>
                <c:pt idx="101">
                  <c:v>23.637209302325584</c:v>
                </c:pt>
                <c:pt idx="102">
                  <c:v>23.637209302325584</c:v>
                </c:pt>
                <c:pt idx="103">
                  <c:v>23.637209302325584</c:v>
                </c:pt>
                <c:pt idx="104">
                  <c:v>23.637209302325584</c:v>
                </c:pt>
              </c:numCache>
            </c:numRef>
          </c:yVal>
          <c:smooth val="0"/>
        </c:ser>
        <c:ser>
          <c:idx val="0"/>
          <c:order val="4"/>
          <c:tx>
            <c:v>Axes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Panels!$R$2:$R$6</c:f>
              <c:numCach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80</c:v>
                </c:pt>
              </c:numCache>
            </c:numRef>
          </c:xVal>
          <c:yVal>
            <c:numRef>
              <c:f>Panels!$S$2:$S$6</c:f>
              <c:numCache>
                <c:ptCount val="5"/>
                <c:pt idx="0">
                  <c:v>-5</c:v>
                </c:pt>
                <c:pt idx="1">
                  <c:v>80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</c:ser>
        <c:ser>
          <c:idx val="3"/>
          <c:order val="5"/>
          <c:tx>
            <c:v>Guides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Guides!$F$2:$F$28</c:f>
              <c:numCach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Guides!$G$2:$G$28</c:f>
              <c:numCache>
                <c:ptCount val="2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176450"/>
        <c:axId val="10588051"/>
      </c:scatterChart>
      <c:valAx>
        <c:axId val="1176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0588051"/>
        <c:crosses val="autoZero"/>
        <c:crossBetween val="midCat"/>
        <c:dispUnits/>
      </c:valAx>
      <c:valAx>
        <c:axId val="105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>
            <c:manualLayout>
              <c:xMode val="factor"/>
              <c:yMode val="factor"/>
              <c:x val="-0.01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176450"/>
        <c:crosses val="autoZero"/>
        <c:crossBetween val="midCat"/>
        <c:dispUnits/>
      </c:valAx>
      <c:spPr>
        <a:noFill/>
        <a:ln w="12700">
          <a:solidFill>
            <a:srgbClr val="000000"/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2025"/>
          <c:w val="0.87425"/>
          <c:h val="0.86925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Panels!$F$42:$F$94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1.9</c:v>
                </c:pt>
                <c:pt idx="3">
                  <c:v>1.9</c:v>
                </c:pt>
                <c:pt idx="4">
                  <c:v>0</c:v>
                </c:pt>
                <c:pt idx="6">
                  <c:v>78.1</c:v>
                </c:pt>
                <c:pt idx="7">
                  <c:v>78.1</c:v>
                </c:pt>
                <c:pt idx="8">
                  <c:v>80</c:v>
                </c:pt>
                <c:pt idx="9">
                  <c:v>80</c:v>
                </c:pt>
                <c:pt idx="10">
                  <c:v>78.1</c:v>
                </c:pt>
                <c:pt idx="12">
                  <c:v>80</c:v>
                </c:pt>
                <c:pt idx="13">
                  <c:v>0</c:v>
                </c:pt>
                <c:pt idx="14">
                  <c:v>0</c:v>
                </c:pt>
                <c:pt idx="15">
                  <c:v>80</c:v>
                </c:pt>
                <c:pt idx="16">
                  <c:v>80</c:v>
                </c:pt>
                <c:pt idx="18">
                  <c:v>0</c:v>
                </c:pt>
                <c:pt idx="19">
                  <c:v>78.1</c:v>
                </c:pt>
                <c:pt idx="20">
                  <c:v>78.1</c:v>
                </c:pt>
                <c:pt idx="21">
                  <c:v>0</c:v>
                </c:pt>
                <c:pt idx="22">
                  <c:v>0</c:v>
                </c:pt>
                <c:pt idx="24">
                  <c:v>1.9</c:v>
                </c:pt>
                <c:pt idx="25">
                  <c:v>78.1</c:v>
                </c:pt>
                <c:pt idx="26">
                  <c:v>78.1</c:v>
                </c:pt>
                <c:pt idx="27">
                  <c:v>1.9</c:v>
                </c:pt>
                <c:pt idx="28">
                  <c:v>1.9</c:v>
                </c:pt>
                <c:pt idx="30">
                  <c:v>23.637209302325584</c:v>
                </c:pt>
                <c:pt idx="31">
                  <c:v>23.637209302325584</c:v>
                </c:pt>
                <c:pt idx="32">
                  <c:v>25.537209302325582</c:v>
                </c:pt>
                <c:pt idx="33">
                  <c:v>25.537209302325582</c:v>
                </c:pt>
                <c:pt idx="34">
                  <c:v>23.637209302325584</c:v>
                </c:pt>
                <c:pt idx="36">
                  <c:v>25.537209302325582</c:v>
                </c:pt>
                <c:pt idx="37">
                  <c:v>25.537209302325582</c:v>
                </c:pt>
                <c:pt idx="38">
                  <c:v>60.179069767441874</c:v>
                </c:pt>
                <c:pt idx="39">
                  <c:v>60.179069767441874</c:v>
                </c:pt>
                <c:pt idx="40">
                  <c:v>25.537209302325582</c:v>
                </c:pt>
                <c:pt idx="42">
                  <c:v>60.179069767441874</c:v>
                </c:pt>
                <c:pt idx="43">
                  <c:v>61.37906976744188</c:v>
                </c:pt>
                <c:pt idx="44">
                  <c:v>61.37906976744188</c:v>
                </c:pt>
                <c:pt idx="45">
                  <c:v>60.179069767441874</c:v>
                </c:pt>
                <c:pt idx="46">
                  <c:v>60.179069767441874</c:v>
                </c:pt>
                <c:pt idx="48">
                  <c:v>42.258139534883725</c:v>
                </c:pt>
                <c:pt idx="49">
                  <c:v>43.45813953488373</c:v>
                </c:pt>
                <c:pt idx="50">
                  <c:v>43.45813953488373</c:v>
                </c:pt>
                <c:pt idx="51">
                  <c:v>42.258139534883725</c:v>
                </c:pt>
                <c:pt idx="52">
                  <c:v>42.258139534883725</c:v>
                </c:pt>
              </c:numCache>
            </c:numRef>
          </c:xVal>
          <c:yVal>
            <c:numRef>
              <c:f>Panels!$G$42:$G$94</c:f>
              <c:numCache>
                <c:ptCount val="53"/>
                <c:pt idx="0">
                  <c:v>72</c:v>
                </c:pt>
                <c:pt idx="1">
                  <c:v>23.637209302325584</c:v>
                </c:pt>
                <c:pt idx="2">
                  <c:v>23.637209302325584</c:v>
                </c:pt>
                <c:pt idx="3">
                  <c:v>72</c:v>
                </c:pt>
                <c:pt idx="4">
                  <c:v>72</c:v>
                </c:pt>
                <c:pt idx="6">
                  <c:v>72</c:v>
                </c:pt>
                <c:pt idx="7">
                  <c:v>0</c:v>
                </c:pt>
                <c:pt idx="8">
                  <c:v>0</c:v>
                </c:pt>
                <c:pt idx="9">
                  <c:v>72</c:v>
                </c:pt>
                <c:pt idx="10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0</c:v>
                </c:pt>
                <c:pt idx="15">
                  <c:v>0</c:v>
                </c:pt>
                <c:pt idx="16">
                  <c:v>72</c:v>
                </c:pt>
                <c:pt idx="18">
                  <c:v>1.9</c:v>
                </c:pt>
                <c:pt idx="19">
                  <c:v>1.9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4">
                  <c:v>72</c:v>
                </c:pt>
                <c:pt idx="25">
                  <c:v>72</c:v>
                </c:pt>
                <c:pt idx="26">
                  <c:v>70.1</c:v>
                </c:pt>
                <c:pt idx="27">
                  <c:v>70.1</c:v>
                </c:pt>
                <c:pt idx="28">
                  <c:v>72</c:v>
                </c:pt>
                <c:pt idx="30">
                  <c:v>18.62093023255814</c:v>
                </c:pt>
                <c:pt idx="31">
                  <c:v>70.1</c:v>
                </c:pt>
                <c:pt idx="32">
                  <c:v>70.1</c:v>
                </c:pt>
                <c:pt idx="33">
                  <c:v>18.62093023255814</c:v>
                </c:pt>
                <c:pt idx="34">
                  <c:v>18.62093023255814</c:v>
                </c:pt>
                <c:pt idx="36">
                  <c:v>18.62093023255814</c:v>
                </c:pt>
                <c:pt idx="37">
                  <c:v>19.82093023255814</c:v>
                </c:pt>
                <c:pt idx="38">
                  <c:v>19.82093023255814</c:v>
                </c:pt>
                <c:pt idx="39">
                  <c:v>18.62093023255814</c:v>
                </c:pt>
                <c:pt idx="40">
                  <c:v>18.62093023255814</c:v>
                </c:pt>
                <c:pt idx="42">
                  <c:v>18.62093023255814</c:v>
                </c:pt>
                <c:pt idx="43">
                  <c:v>18.62093023255814</c:v>
                </c:pt>
                <c:pt idx="44">
                  <c:v>53.37906976744185</c:v>
                </c:pt>
                <c:pt idx="45">
                  <c:v>53.37906976744185</c:v>
                </c:pt>
                <c:pt idx="46">
                  <c:v>18.62093023255814</c:v>
                </c:pt>
                <c:pt idx="48">
                  <c:v>70.1</c:v>
                </c:pt>
                <c:pt idx="49">
                  <c:v>70.1</c:v>
                </c:pt>
                <c:pt idx="50">
                  <c:v>36.54186046511629</c:v>
                </c:pt>
                <c:pt idx="51">
                  <c:v>36.54186046511629</c:v>
                </c:pt>
                <c:pt idx="52">
                  <c:v>70.1</c:v>
                </c:pt>
              </c:numCache>
            </c:numRef>
          </c:yVal>
          <c:smooth val="0"/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Path!$F$19:$F$126</c:f>
              <c:numCache>
                <c:ptCount val="108"/>
                <c:pt idx="0">
                  <c:v>25.537209302325582</c:v>
                </c:pt>
                <c:pt idx="1">
                  <c:v>42.258139534883725</c:v>
                </c:pt>
                <c:pt idx="3">
                  <c:v>25.537209302325582</c:v>
                </c:pt>
                <c:pt idx="4">
                  <c:v>42.258139534883725</c:v>
                </c:pt>
                <c:pt idx="6">
                  <c:v>25.537209302325582</c:v>
                </c:pt>
                <c:pt idx="7">
                  <c:v>42.258139534883725</c:v>
                </c:pt>
                <c:pt idx="9">
                  <c:v>25.537209302325582</c:v>
                </c:pt>
                <c:pt idx="10">
                  <c:v>42.258139534883725</c:v>
                </c:pt>
                <c:pt idx="12">
                  <c:v>33.89767441860465</c:v>
                </c:pt>
                <c:pt idx="13">
                  <c:v>42.258139534883725</c:v>
                </c:pt>
                <c:pt idx="15">
                  <c:v>42.258139534883725</c:v>
                </c:pt>
                <c:pt idx="16">
                  <c:v>42.258139534883725</c:v>
                </c:pt>
                <c:pt idx="18">
                  <c:v>43.45813953488373</c:v>
                </c:pt>
                <c:pt idx="19">
                  <c:v>43.45813953488373</c:v>
                </c:pt>
                <c:pt idx="21">
                  <c:v>51.8186046511628</c:v>
                </c:pt>
                <c:pt idx="22">
                  <c:v>43.45813953488373</c:v>
                </c:pt>
                <c:pt idx="24">
                  <c:v>60.179069767441874</c:v>
                </c:pt>
                <c:pt idx="25">
                  <c:v>43.45813953488373</c:v>
                </c:pt>
                <c:pt idx="27">
                  <c:v>60.179069767441874</c:v>
                </c:pt>
                <c:pt idx="28">
                  <c:v>43.45813953488373</c:v>
                </c:pt>
                <c:pt idx="30">
                  <c:v>43.45813953488373</c:v>
                </c:pt>
                <c:pt idx="31">
                  <c:v>60.179069767441874</c:v>
                </c:pt>
                <c:pt idx="33">
                  <c:v>43.45813953488373</c:v>
                </c:pt>
                <c:pt idx="34">
                  <c:v>60.179069767441874</c:v>
                </c:pt>
                <c:pt idx="36">
                  <c:v>51.8186046511628</c:v>
                </c:pt>
                <c:pt idx="37">
                  <c:v>60.179069767441874</c:v>
                </c:pt>
                <c:pt idx="39">
                  <c:v>60.179069767441874</c:v>
                </c:pt>
                <c:pt idx="40">
                  <c:v>60.179069767441874</c:v>
                </c:pt>
                <c:pt idx="42">
                  <c:v>61.37906976744188</c:v>
                </c:pt>
                <c:pt idx="43">
                  <c:v>61.37906976744188</c:v>
                </c:pt>
                <c:pt idx="45">
                  <c:v>69.73953488372094</c:v>
                </c:pt>
                <c:pt idx="46">
                  <c:v>61.37906976744188</c:v>
                </c:pt>
                <c:pt idx="48">
                  <c:v>78.1</c:v>
                </c:pt>
                <c:pt idx="49">
                  <c:v>61.37906976744188</c:v>
                </c:pt>
                <c:pt idx="51">
                  <c:v>78.1</c:v>
                </c:pt>
                <c:pt idx="52">
                  <c:v>61.37906976744188</c:v>
                </c:pt>
                <c:pt idx="54">
                  <c:v>78.1</c:v>
                </c:pt>
                <c:pt idx="55">
                  <c:v>61.37906976744188</c:v>
                </c:pt>
                <c:pt idx="57">
                  <c:v>78.1</c:v>
                </c:pt>
                <c:pt idx="58">
                  <c:v>61.37906976744188</c:v>
                </c:pt>
                <c:pt idx="60">
                  <c:v>69.73953488372094</c:v>
                </c:pt>
                <c:pt idx="61">
                  <c:v>61.37906976744188</c:v>
                </c:pt>
                <c:pt idx="63">
                  <c:v>61.37906976744188</c:v>
                </c:pt>
                <c:pt idx="64">
                  <c:v>61.37906976744188</c:v>
                </c:pt>
                <c:pt idx="66">
                  <c:v>23.637209302325584</c:v>
                </c:pt>
                <c:pt idx="67">
                  <c:v>23.637209302325584</c:v>
                </c:pt>
                <c:pt idx="72">
                  <c:v>23.637209302325584</c:v>
                </c:pt>
                <c:pt idx="73">
                  <c:v>23.637209302325584</c:v>
                </c:pt>
                <c:pt idx="75">
                  <c:v>12.768604651162791</c:v>
                </c:pt>
                <c:pt idx="76">
                  <c:v>12.768604651162791</c:v>
                </c:pt>
                <c:pt idx="78">
                  <c:v>1.9</c:v>
                </c:pt>
                <c:pt idx="79">
                  <c:v>1.9</c:v>
                </c:pt>
                <c:pt idx="81">
                  <c:v>0</c:v>
                </c:pt>
                <c:pt idx="82">
                  <c:v>0</c:v>
                </c:pt>
                <c:pt idx="87">
                  <c:v>1.9</c:v>
                </c:pt>
                <c:pt idx="88">
                  <c:v>23.637209302325584</c:v>
                </c:pt>
                <c:pt idx="90">
                  <c:v>1.9</c:v>
                </c:pt>
                <c:pt idx="91">
                  <c:v>23.637209302325584</c:v>
                </c:pt>
                <c:pt idx="93">
                  <c:v>1.9</c:v>
                </c:pt>
                <c:pt idx="94">
                  <c:v>23.637209302325584</c:v>
                </c:pt>
                <c:pt idx="96">
                  <c:v>1.9</c:v>
                </c:pt>
                <c:pt idx="97">
                  <c:v>23.637209302325584</c:v>
                </c:pt>
                <c:pt idx="99">
                  <c:v>1.9</c:v>
                </c:pt>
                <c:pt idx="100">
                  <c:v>23.637209302325584</c:v>
                </c:pt>
                <c:pt idx="102">
                  <c:v>1.9</c:v>
                </c:pt>
                <c:pt idx="103">
                  <c:v>23.637209302325584</c:v>
                </c:pt>
              </c:numCache>
            </c:numRef>
          </c:xVal>
          <c:yVal>
            <c:numRef>
              <c:f>Path!$G$19:$G$126</c:f>
              <c:numCache>
                <c:ptCount val="108"/>
                <c:pt idx="0">
                  <c:v>70.1</c:v>
                </c:pt>
                <c:pt idx="1">
                  <c:v>70.1</c:v>
                </c:pt>
                <c:pt idx="3">
                  <c:v>51.199999999999996</c:v>
                </c:pt>
                <c:pt idx="4">
                  <c:v>51.199999999999996</c:v>
                </c:pt>
                <c:pt idx="6">
                  <c:v>36.54186046511629</c:v>
                </c:pt>
                <c:pt idx="7">
                  <c:v>36.54186046511629</c:v>
                </c:pt>
                <c:pt idx="9">
                  <c:v>28.181395348837214</c:v>
                </c:pt>
                <c:pt idx="10">
                  <c:v>36.54186046511629</c:v>
                </c:pt>
                <c:pt idx="12">
                  <c:v>19.82093023255814</c:v>
                </c:pt>
                <c:pt idx="13">
                  <c:v>36.54186046511629</c:v>
                </c:pt>
                <c:pt idx="15">
                  <c:v>19.82093023255814</c:v>
                </c:pt>
                <c:pt idx="16">
                  <c:v>36.54186046511629</c:v>
                </c:pt>
                <c:pt idx="18">
                  <c:v>19.82093023255814</c:v>
                </c:pt>
                <c:pt idx="19">
                  <c:v>36.54186046511629</c:v>
                </c:pt>
                <c:pt idx="21">
                  <c:v>19.82093023255814</c:v>
                </c:pt>
                <c:pt idx="22">
                  <c:v>36.54186046511629</c:v>
                </c:pt>
                <c:pt idx="24">
                  <c:v>28.181395348837214</c:v>
                </c:pt>
                <c:pt idx="25">
                  <c:v>36.54186046511629</c:v>
                </c:pt>
                <c:pt idx="27">
                  <c:v>36.54186046511629</c:v>
                </c:pt>
                <c:pt idx="28">
                  <c:v>36.54186046511629</c:v>
                </c:pt>
                <c:pt idx="30">
                  <c:v>53.37906976744185</c:v>
                </c:pt>
                <c:pt idx="31">
                  <c:v>53.37906976744185</c:v>
                </c:pt>
                <c:pt idx="33">
                  <c:v>61.73953488372092</c:v>
                </c:pt>
                <c:pt idx="34">
                  <c:v>53.37906976744185</c:v>
                </c:pt>
                <c:pt idx="36">
                  <c:v>70.1</c:v>
                </c:pt>
                <c:pt idx="37">
                  <c:v>53.37906976744185</c:v>
                </c:pt>
                <c:pt idx="39">
                  <c:v>70.1</c:v>
                </c:pt>
                <c:pt idx="40">
                  <c:v>53.37906976744185</c:v>
                </c:pt>
                <c:pt idx="42">
                  <c:v>70.1</c:v>
                </c:pt>
                <c:pt idx="43">
                  <c:v>53.37906976744185</c:v>
                </c:pt>
                <c:pt idx="45">
                  <c:v>70.1</c:v>
                </c:pt>
                <c:pt idx="46">
                  <c:v>53.37906976744185</c:v>
                </c:pt>
                <c:pt idx="48">
                  <c:v>61.73953488372092</c:v>
                </c:pt>
                <c:pt idx="49">
                  <c:v>53.37906976744185</c:v>
                </c:pt>
                <c:pt idx="51">
                  <c:v>53.37906976744185</c:v>
                </c:pt>
                <c:pt idx="52">
                  <c:v>53.37906976744185</c:v>
                </c:pt>
                <c:pt idx="54">
                  <c:v>18.62093023255814</c:v>
                </c:pt>
                <c:pt idx="55">
                  <c:v>18.62093023255814</c:v>
                </c:pt>
                <c:pt idx="57">
                  <c:v>10.26046511627907</c:v>
                </c:pt>
                <c:pt idx="58">
                  <c:v>18.62093023255814</c:v>
                </c:pt>
                <c:pt idx="60">
                  <c:v>1.9</c:v>
                </c:pt>
                <c:pt idx="61">
                  <c:v>18.62093023255814</c:v>
                </c:pt>
                <c:pt idx="63">
                  <c:v>1.9</c:v>
                </c:pt>
                <c:pt idx="64">
                  <c:v>18.62093023255814</c:v>
                </c:pt>
                <c:pt idx="66">
                  <c:v>1.9</c:v>
                </c:pt>
                <c:pt idx="67">
                  <c:v>18.62093023255814</c:v>
                </c:pt>
                <c:pt idx="72">
                  <c:v>1.9</c:v>
                </c:pt>
                <c:pt idx="73">
                  <c:v>23.637209302325584</c:v>
                </c:pt>
                <c:pt idx="75">
                  <c:v>1.9</c:v>
                </c:pt>
                <c:pt idx="76">
                  <c:v>23.637209302325584</c:v>
                </c:pt>
                <c:pt idx="78">
                  <c:v>1.9</c:v>
                </c:pt>
                <c:pt idx="79">
                  <c:v>23.637209302325584</c:v>
                </c:pt>
                <c:pt idx="81">
                  <c:v>1.9</c:v>
                </c:pt>
                <c:pt idx="82">
                  <c:v>23.637209302325584</c:v>
                </c:pt>
                <c:pt idx="87">
                  <c:v>70.1</c:v>
                </c:pt>
                <c:pt idx="88">
                  <c:v>70.1</c:v>
                </c:pt>
                <c:pt idx="90">
                  <c:v>51.199999999999996</c:v>
                </c:pt>
                <c:pt idx="91">
                  <c:v>51.199999999999996</c:v>
                </c:pt>
                <c:pt idx="93">
                  <c:v>25.537209302325582</c:v>
                </c:pt>
                <c:pt idx="94">
                  <c:v>25.537209302325582</c:v>
                </c:pt>
                <c:pt idx="96">
                  <c:v>23.637209302325584</c:v>
                </c:pt>
                <c:pt idx="97">
                  <c:v>23.637209302325584</c:v>
                </c:pt>
                <c:pt idx="99">
                  <c:v>23.637209302325584</c:v>
                </c:pt>
                <c:pt idx="100">
                  <c:v>23.637209302325584</c:v>
                </c:pt>
                <c:pt idx="102">
                  <c:v>23.637209302325584</c:v>
                </c:pt>
                <c:pt idx="103">
                  <c:v>23.637209302325584</c:v>
                </c:pt>
              </c:numCache>
            </c:numRef>
          </c:yVal>
          <c:smooth val="0"/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Panels!$F$4:$F$37</c:f>
              <c:numCache>
                <c:ptCount val="34"/>
                <c:pt idx="0">
                  <c:v>23.637209302325584</c:v>
                </c:pt>
                <c:pt idx="1">
                  <c:v>23.637209302325584</c:v>
                </c:pt>
                <c:pt idx="2">
                  <c:v>10.937209302325584</c:v>
                </c:pt>
                <c:pt idx="3">
                  <c:v>10.937209302325584</c:v>
                </c:pt>
                <c:pt idx="4">
                  <c:v>16.017209302325583</c:v>
                </c:pt>
                <c:pt idx="5">
                  <c:v>23.637209302325584</c:v>
                </c:pt>
                <c:pt idx="7">
                  <c:v>23.637209302325584</c:v>
                </c:pt>
                <c:pt idx="8">
                  <c:v>23.637209302325584</c:v>
                </c:pt>
                <c:pt idx="9">
                  <c:v>10.937209302325584</c:v>
                </c:pt>
                <c:pt idx="10">
                  <c:v>10.937209302325584</c:v>
                </c:pt>
                <c:pt idx="11">
                  <c:v>16.017209302325583</c:v>
                </c:pt>
                <c:pt idx="12">
                  <c:v>23.637209302325584</c:v>
                </c:pt>
                <c:pt idx="14">
                  <c:v>16.017209302325583</c:v>
                </c:pt>
                <c:pt idx="15">
                  <c:v>16.017209302325583</c:v>
                </c:pt>
                <c:pt idx="18">
                  <c:v>23.637209302325584</c:v>
                </c:pt>
                <c:pt idx="19">
                  <c:v>23.637209302325584</c:v>
                </c:pt>
                <c:pt idx="20">
                  <c:v>10.937209302325584</c:v>
                </c:pt>
                <c:pt idx="21">
                  <c:v>10.937209302325584</c:v>
                </c:pt>
                <c:pt idx="22">
                  <c:v>16.017209302325583</c:v>
                </c:pt>
                <c:pt idx="23">
                  <c:v>23.637209302325584</c:v>
                </c:pt>
                <c:pt idx="25">
                  <c:v>23.637209302325584</c:v>
                </c:pt>
                <c:pt idx="26">
                  <c:v>23.637209302325584</c:v>
                </c:pt>
                <c:pt idx="27">
                  <c:v>10.937209302325584</c:v>
                </c:pt>
                <c:pt idx="28">
                  <c:v>10.937209302325584</c:v>
                </c:pt>
                <c:pt idx="29">
                  <c:v>16.017209302325583</c:v>
                </c:pt>
                <c:pt idx="30">
                  <c:v>23.637209302325584</c:v>
                </c:pt>
                <c:pt idx="32">
                  <c:v>16.017209302325583</c:v>
                </c:pt>
                <c:pt idx="33">
                  <c:v>16.017209302325583</c:v>
                </c:pt>
              </c:numCache>
            </c:numRef>
          </c:xVal>
          <c:yVal>
            <c:numRef>
              <c:f>Panels!$G$4:$G$37</c:f>
              <c:numCache>
                <c:ptCount val="34"/>
                <c:pt idx="0">
                  <c:v>67.1</c:v>
                </c:pt>
                <c:pt idx="1">
                  <c:v>51.199999999999996</c:v>
                </c:pt>
                <c:pt idx="2">
                  <c:v>51.199999999999996</c:v>
                </c:pt>
                <c:pt idx="3">
                  <c:v>60.699999999999996</c:v>
                </c:pt>
                <c:pt idx="4">
                  <c:v>60.699999999999996</c:v>
                </c:pt>
                <c:pt idx="5">
                  <c:v>65.14999999999999</c:v>
                </c:pt>
                <c:pt idx="7">
                  <c:v>35.3</c:v>
                </c:pt>
                <c:pt idx="8">
                  <c:v>51.199999999999996</c:v>
                </c:pt>
                <c:pt idx="9">
                  <c:v>51.199999999999996</c:v>
                </c:pt>
                <c:pt idx="10">
                  <c:v>41.699999999999996</c:v>
                </c:pt>
                <c:pt idx="11">
                  <c:v>41.699999999999996</c:v>
                </c:pt>
                <c:pt idx="12">
                  <c:v>37.25</c:v>
                </c:pt>
                <c:pt idx="14">
                  <c:v>41.699999999999996</c:v>
                </c:pt>
                <c:pt idx="15">
                  <c:v>60.699999999999996</c:v>
                </c:pt>
                <c:pt idx="18">
                  <c:v>67.1</c:v>
                </c:pt>
                <c:pt idx="19">
                  <c:v>51.199999999999996</c:v>
                </c:pt>
                <c:pt idx="20">
                  <c:v>51.199999999999996</c:v>
                </c:pt>
                <c:pt idx="21">
                  <c:v>60.699999999999996</c:v>
                </c:pt>
                <c:pt idx="22">
                  <c:v>60.699999999999996</c:v>
                </c:pt>
                <c:pt idx="23">
                  <c:v>65.14999999999999</c:v>
                </c:pt>
                <c:pt idx="25">
                  <c:v>35.3</c:v>
                </c:pt>
                <c:pt idx="26">
                  <c:v>51.199999999999996</c:v>
                </c:pt>
                <c:pt idx="27">
                  <c:v>51.199999999999996</c:v>
                </c:pt>
                <c:pt idx="28">
                  <c:v>41.699999999999996</c:v>
                </c:pt>
                <c:pt idx="29">
                  <c:v>41.699999999999996</c:v>
                </c:pt>
                <c:pt idx="30">
                  <c:v>37.25</c:v>
                </c:pt>
                <c:pt idx="32">
                  <c:v>41.699999999999996</c:v>
                </c:pt>
                <c:pt idx="33">
                  <c:v>60.699999999999996</c:v>
                </c:pt>
              </c:numCache>
            </c:numRef>
          </c:yVal>
          <c:smooth val="0"/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Path!$J$19:$J$126</c:f>
              <c:numCache>
                <c:ptCount val="108"/>
                <c:pt idx="0">
                  <c:v>33.89767441860465</c:v>
                </c:pt>
                <c:pt idx="1">
                  <c:v>33.89767441860465</c:v>
                </c:pt>
                <c:pt idx="2">
                  <c:v>33.89767441860465</c:v>
                </c:pt>
                <c:pt idx="3">
                  <c:v>33.89767441860465</c:v>
                </c:pt>
                <c:pt idx="4">
                  <c:v>33.89767441860465</c:v>
                </c:pt>
                <c:pt idx="5">
                  <c:v>33.89767441860465</c:v>
                </c:pt>
                <c:pt idx="6">
                  <c:v>33.89767441860465</c:v>
                </c:pt>
                <c:pt idx="7">
                  <c:v>33.89767441860465</c:v>
                </c:pt>
                <c:pt idx="8">
                  <c:v>33.89767441860465</c:v>
                </c:pt>
                <c:pt idx="9">
                  <c:v>33.89767441860465</c:v>
                </c:pt>
                <c:pt idx="10">
                  <c:v>33.89767441860465</c:v>
                </c:pt>
                <c:pt idx="11">
                  <c:v>33.89767441860465</c:v>
                </c:pt>
                <c:pt idx="12">
                  <c:v>38.07790697674419</c:v>
                </c:pt>
                <c:pt idx="13">
                  <c:v>38.07790697674419</c:v>
                </c:pt>
                <c:pt idx="14">
                  <c:v>38.07790697674419</c:v>
                </c:pt>
                <c:pt idx="15">
                  <c:v>42.258139534883725</c:v>
                </c:pt>
                <c:pt idx="16">
                  <c:v>42.258139534883725</c:v>
                </c:pt>
                <c:pt idx="17">
                  <c:v>42.258139534883725</c:v>
                </c:pt>
                <c:pt idx="18">
                  <c:v>43.45813953488373</c:v>
                </c:pt>
                <c:pt idx="19">
                  <c:v>43.45813953488373</c:v>
                </c:pt>
                <c:pt idx="20">
                  <c:v>43.45813953488373</c:v>
                </c:pt>
                <c:pt idx="21">
                  <c:v>47.638372093023264</c:v>
                </c:pt>
                <c:pt idx="22">
                  <c:v>47.638372093023264</c:v>
                </c:pt>
                <c:pt idx="23">
                  <c:v>47.638372093023264</c:v>
                </c:pt>
                <c:pt idx="24">
                  <c:v>51.8186046511628</c:v>
                </c:pt>
                <c:pt idx="25">
                  <c:v>51.8186046511628</c:v>
                </c:pt>
                <c:pt idx="26">
                  <c:v>51.8186046511628</c:v>
                </c:pt>
                <c:pt idx="27">
                  <c:v>51.8186046511628</c:v>
                </c:pt>
                <c:pt idx="28">
                  <c:v>51.8186046511628</c:v>
                </c:pt>
                <c:pt idx="29">
                  <c:v>51.8186046511628</c:v>
                </c:pt>
                <c:pt idx="30">
                  <c:v>51.8186046511628</c:v>
                </c:pt>
                <c:pt idx="31">
                  <c:v>51.8186046511628</c:v>
                </c:pt>
                <c:pt idx="32">
                  <c:v>51.8186046511628</c:v>
                </c:pt>
                <c:pt idx="33">
                  <c:v>51.8186046511628</c:v>
                </c:pt>
                <c:pt idx="34">
                  <c:v>51.8186046511628</c:v>
                </c:pt>
                <c:pt idx="35">
                  <c:v>51.8186046511628</c:v>
                </c:pt>
                <c:pt idx="36">
                  <c:v>55.99883720930234</c:v>
                </c:pt>
                <c:pt idx="37">
                  <c:v>55.99883720930234</c:v>
                </c:pt>
                <c:pt idx="38">
                  <c:v>55.99883720930234</c:v>
                </c:pt>
                <c:pt idx="39">
                  <c:v>60.179069767441874</c:v>
                </c:pt>
                <c:pt idx="40">
                  <c:v>60.179069767441874</c:v>
                </c:pt>
                <c:pt idx="41">
                  <c:v>60.179069767441874</c:v>
                </c:pt>
                <c:pt idx="42">
                  <c:v>61.37906976744188</c:v>
                </c:pt>
                <c:pt idx="43">
                  <c:v>61.37906976744188</c:v>
                </c:pt>
                <c:pt idx="44">
                  <c:v>61.37906976744188</c:v>
                </c:pt>
                <c:pt idx="45">
                  <c:v>65.5593023255814</c:v>
                </c:pt>
                <c:pt idx="46">
                  <c:v>65.5593023255814</c:v>
                </c:pt>
                <c:pt idx="47">
                  <c:v>65.5593023255814</c:v>
                </c:pt>
                <c:pt idx="48">
                  <c:v>69.73953488372094</c:v>
                </c:pt>
                <c:pt idx="49">
                  <c:v>69.73953488372094</c:v>
                </c:pt>
                <c:pt idx="50">
                  <c:v>69.73953488372094</c:v>
                </c:pt>
                <c:pt idx="51">
                  <c:v>69.73953488372094</c:v>
                </c:pt>
                <c:pt idx="52">
                  <c:v>69.73953488372094</c:v>
                </c:pt>
                <c:pt idx="53">
                  <c:v>69.73953488372094</c:v>
                </c:pt>
                <c:pt idx="54">
                  <c:v>69.73953488372094</c:v>
                </c:pt>
                <c:pt idx="55">
                  <c:v>69.73953488372094</c:v>
                </c:pt>
                <c:pt idx="56">
                  <c:v>69.73953488372094</c:v>
                </c:pt>
                <c:pt idx="57">
                  <c:v>69.73953488372094</c:v>
                </c:pt>
                <c:pt idx="58">
                  <c:v>69.73953488372094</c:v>
                </c:pt>
                <c:pt idx="59">
                  <c:v>69.73953488372094</c:v>
                </c:pt>
                <c:pt idx="60">
                  <c:v>65.5593023255814</c:v>
                </c:pt>
                <c:pt idx="61">
                  <c:v>65.5593023255814</c:v>
                </c:pt>
                <c:pt idx="62">
                  <c:v>65.5593023255814</c:v>
                </c:pt>
                <c:pt idx="63">
                  <c:v>61.37906976744188</c:v>
                </c:pt>
                <c:pt idx="64">
                  <c:v>61.37906976744188</c:v>
                </c:pt>
                <c:pt idx="65">
                  <c:v>61.37906976744188</c:v>
                </c:pt>
                <c:pt idx="66">
                  <c:v>23.637209302325584</c:v>
                </c:pt>
                <c:pt idx="67">
                  <c:v>23.637209302325584</c:v>
                </c:pt>
                <c:pt idx="68">
                  <c:v>23.637209302325584</c:v>
                </c:pt>
                <c:pt idx="72">
                  <c:v>23.637209302325584</c:v>
                </c:pt>
                <c:pt idx="73">
                  <c:v>23.637209302325584</c:v>
                </c:pt>
                <c:pt idx="74">
                  <c:v>23.637209302325584</c:v>
                </c:pt>
                <c:pt idx="75">
                  <c:v>12.768604651162791</c:v>
                </c:pt>
                <c:pt idx="76">
                  <c:v>12.768604651162791</c:v>
                </c:pt>
                <c:pt idx="77">
                  <c:v>12.768604651162791</c:v>
                </c:pt>
                <c:pt idx="78">
                  <c:v>1.9</c:v>
                </c:pt>
                <c:pt idx="79">
                  <c:v>1.9</c:v>
                </c:pt>
                <c:pt idx="80">
                  <c:v>1.9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7">
                  <c:v>12.768604651162791</c:v>
                </c:pt>
                <c:pt idx="88">
                  <c:v>12.768604651162791</c:v>
                </c:pt>
                <c:pt idx="89">
                  <c:v>12.768604651162791</c:v>
                </c:pt>
                <c:pt idx="90">
                  <c:v>12.768604651162791</c:v>
                </c:pt>
                <c:pt idx="91">
                  <c:v>12.768604651162791</c:v>
                </c:pt>
                <c:pt idx="92">
                  <c:v>12.768604651162791</c:v>
                </c:pt>
                <c:pt idx="93">
                  <c:v>12.768604651162791</c:v>
                </c:pt>
                <c:pt idx="94">
                  <c:v>12.768604651162791</c:v>
                </c:pt>
                <c:pt idx="95">
                  <c:v>12.768604651162791</c:v>
                </c:pt>
                <c:pt idx="96">
                  <c:v>12.768604651162791</c:v>
                </c:pt>
                <c:pt idx="97">
                  <c:v>12.768604651162791</c:v>
                </c:pt>
                <c:pt idx="98">
                  <c:v>12.768604651162791</c:v>
                </c:pt>
                <c:pt idx="99">
                  <c:v>12.768604651162791</c:v>
                </c:pt>
                <c:pt idx="100">
                  <c:v>12.768604651162791</c:v>
                </c:pt>
                <c:pt idx="101">
                  <c:v>12.768604651162791</c:v>
                </c:pt>
                <c:pt idx="102">
                  <c:v>12.768604651162791</c:v>
                </c:pt>
                <c:pt idx="103">
                  <c:v>12.768604651162791</c:v>
                </c:pt>
                <c:pt idx="104">
                  <c:v>12.768604651162791</c:v>
                </c:pt>
              </c:numCache>
            </c:numRef>
          </c:xVal>
          <c:yVal>
            <c:numRef>
              <c:f>Path!$K$19:$K$126</c:f>
              <c:numCache>
                <c:ptCount val="108"/>
                <c:pt idx="0">
                  <c:v>70.1</c:v>
                </c:pt>
                <c:pt idx="1">
                  <c:v>70.1</c:v>
                </c:pt>
                <c:pt idx="2">
                  <c:v>70.1</c:v>
                </c:pt>
                <c:pt idx="3">
                  <c:v>51.199999999999996</c:v>
                </c:pt>
                <c:pt idx="4">
                  <c:v>51.199999999999996</c:v>
                </c:pt>
                <c:pt idx="5">
                  <c:v>51.199999999999996</c:v>
                </c:pt>
                <c:pt idx="6">
                  <c:v>36.54186046511629</c:v>
                </c:pt>
                <c:pt idx="7">
                  <c:v>36.54186046511629</c:v>
                </c:pt>
                <c:pt idx="8">
                  <c:v>36.54186046511629</c:v>
                </c:pt>
                <c:pt idx="9">
                  <c:v>32.36162790697675</c:v>
                </c:pt>
                <c:pt idx="10">
                  <c:v>32.36162790697675</c:v>
                </c:pt>
                <c:pt idx="11">
                  <c:v>32.36162790697675</c:v>
                </c:pt>
                <c:pt idx="12">
                  <c:v>28.181395348837214</c:v>
                </c:pt>
                <c:pt idx="13">
                  <c:v>28.181395348837214</c:v>
                </c:pt>
                <c:pt idx="14">
                  <c:v>28.181395348837214</c:v>
                </c:pt>
                <c:pt idx="15">
                  <c:v>28.181395348837214</c:v>
                </c:pt>
                <c:pt idx="16">
                  <c:v>28.181395348837214</c:v>
                </c:pt>
                <c:pt idx="17">
                  <c:v>28.181395348837214</c:v>
                </c:pt>
                <c:pt idx="18">
                  <c:v>28.181395348837214</c:v>
                </c:pt>
                <c:pt idx="19">
                  <c:v>28.181395348837214</c:v>
                </c:pt>
                <c:pt idx="20">
                  <c:v>28.181395348837214</c:v>
                </c:pt>
                <c:pt idx="21">
                  <c:v>28.181395348837214</c:v>
                </c:pt>
                <c:pt idx="22">
                  <c:v>28.181395348837214</c:v>
                </c:pt>
                <c:pt idx="23">
                  <c:v>28.181395348837214</c:v>
                </c:pt>
                <c:pt idx="24">
                  <c:v>32.36162790697675</c:v>
                </c:pt>
                <c:pt idx="25">
                  <c:v>32.36162790697675</c:v>
                </c:pt>
                <c:pt idx="26">
                  <c:v>32.36162790697675</c:v>
                </c:pt>
                <c:pt idx="27">
                  <c:v>36.54186046511629</c:v>
                </c:pt>
                <c:pt idx="28">
                  <c:v>36.54186046511629</c:v>
                </c:pt>
                <c:pt idx="29">
                  <c:v>36.54186046511629</c:v>
                </c:pt>
                <c:pt idx="30">
                  <c:v>53.37906976744185</c:v>
                </c:pt>
                <c:pt idx="31">
                  <c:v>53.37906976744185</c:v>
                </c:pt>
                <c:pt idx="32">
                  <c:v>53.37906976744185</c:v>
                </c:pt>
                <c:pt idx="33">
                  <c:v>57.559302325581385</c:v>
                </c:pt>
                <c:pt idx="34">
                  <c:v>57.559302325581385</c:v>
                </c:pt>
                <c:pt idx="35">
                  <c:v>57.559302325581385</c:v>
                </c:pt>
                <c:pt idx="36">
                  <c:v>61.73953488372092</c:v>
                </c:pt>
                <c:pt idx="37">
                  <c:v>61.73953488372092</c:v>
                </c:pt>
                <c:pt idx="38">
                  <c:v>61.73953488372092</c:v>
                </c:pt>
                <c:pt idx="39">
                  <c:v>61.73953488372092</c:v>
                </c:pt>
                <c:pt idx="40">
                  <c:v>61.73953488372092</c:v>
                </c:pt>
                <c:pt idx="41">
                  <c:v>61.73953488372092</c:v>
                </c:pt>
                <c:pt idx="42">
                  <c:v>61.73953488372092</c:v>
                </c:pt>
                <c:pt idx="43">
                  <c:v>61.73953488372092</c:v>
                </c:pt>
                <c:pt idx="44">
                  <c:v>61.73953488372092</c:v>
                </c:pt>
                <c:pt idx="45">
                  <c:v>61.73953488372092</c:v>
                </c:pt>
                <c:pt idx="46">
                  <c:v>61.73953488372092</c:v>
                </c:pt>
                <c:pt idx="47">
                  <c:v>61.73953488372092</c:v>
                </c:pt>
                <c:pt idx="48">
                  <c:v>57.559302325581385</c:v>
                </c:pt>
                <c:pt idx="49">
                  <c:v>57.559302325581385</c:v>
                </c:pt>
                <c:pt idx="50">
                  <c:v>57.559302325581385</c:v>
                </c:pt>
                <c:pt idx="51">
                  <c:v>53.37906976744185</c:v>
                </c:pt>
                <c:pt idx="52">
                  <c:v>53.37906976744185</c:v>
                </c:pt>
                <c:pt idx="53">
                  <c:v>53.37906976744185</c:v>
                </c:pt>
                <c:pt idx="54">
                  <c:v>18.62093023255814</c:v>
                </c:pt>
                <c:pt idx="55">
                  <c:v>18.62093023255814</c:v>
                </c:pt>
                <c:pt idx="56">
                  <c:v>18.62093023255814</c:v>
                </c:pt>
                <c:pt idx="57">
                  <c:v>14.440697674418605</c:v>
                </c:pt>
                <c:pt idx="58">
                  <c:v>14.440697674418605</c:v>
                </c:pt>
                <c:pt idx="59">
                  <c:v>14.440697674418605</c:v>
                </c:pt>
                <c:pt idx="60">
                  <c:v>10.26046511627907</c:v>
                </c:pt>
                <c:pt idx="61">
                  <c:v>10.26046511627907</c:v>
                </c:pt>
                <c:pt idx="62">
                  <c:v>10.26046511627907</c:v>
                </c:pt>
                <c:pt idx="63">
                  <c:v>10.26046511627907</c:v>
                </c:pt>
                <c:pt idx="64">
                  <c:v>10.26046511627907</c:v>
                </c:pt>
                <c:pt idx="65">
                  <c:v>10.26046511627907</c:v>
                </c:pt>
                <c:pt idx="66">
                  <c:v>10.26046511627907</c:v>
                </c:pt>
                <c:pt idx="67">
                  <c:v>10.26046511627907</c:v>
                </c:pt>
                <c:pt idx="68">
                  <c:v>10.26046511627907</c:v>
                </c:pt>
                <c:pt idx="72">
                  <c:v>12.768604651162791</c:v>
                </c:pt>
                <c:pt idx="73">
                  <c:v>12.768604651162791</c:v>
                </c:pt>
                <c:pt idx="74">
                  <c:v>12.768604651162791</c:v>
                </c:pt>
                <c:pt idx="75">
                  <c:v>12.768604651162791</c:v>
                </c:pt>
                <c:pt idx="76">
                  <c:v>12.768604651162791</c:v>
                </c:pt>
                <c:pt idx="77">
                  <c:v>12.768604651162791</c:v>
                </c:pt>
                <c:pt idx="78">
                  <c:v>12.768604651162791</c:v>
                </c:pt>
                <c:pt idx="79">
                  <c:v>12.768604651162791</c:v>
                </c:pt>
                <c:pt idx="80">
                  <c:v>12.768604651162791</c:v>
                </c:pt>
                <c:pt idx="81">
                  <c:v>12.768604651162791</c:v>
                </c:pt>
                <c:pt idx="82">
                  <c:v>12.768604651162791</c:v>
                </c:pt>
                <c:pt idx="83">
                  <c:v>12.768604651162791</c:v>
                </c:pt>
                <c:pt idx="87">
                  <c:v>70.1</c:v>
                </c:pt>
                <c:pt idx="88">
                  <c:v>70.1</c:v>
                </c:pt>
                <c:pt idx="89">
                  <c:v>70.1</c:v>
                </c:pt>
                <c:pt idx="90">
                  <c:v>51.199999999999996</c:v>
                </c:pt>
                <c:pt idx="91">
                  <c:v>51.199999999999996</c:v>
                </c:pt>
                <c:pt idx="92">
                  <c:v>51.199999999999996</c:v>
                </c:pt>
                <c:pt idx="93">
                  <c:v>25.537209302325582</c:v>
                </c:pt>
                <c:pt idx="94">
                  <c:v>25.537209302325582</c:v>
                </c:pt>
                <c:pt idx="95">
                  <c:v>25.537209302325582</c:v>
                </c:pt>
                <c:pt idx="96">
                  <c:v>23.637209302325584</c:v>
                </c:pt>
                <c:pt idx="97">
                  <c:v>23.637209302325584</c:v>
                </c:pt>
                <c:pt idx="98">
                  <c:v>23.637209302325584</c:v>
                </c:pt>
                <c:pt idx="99">
                  <c:v>23.637209302325584</c:v>
                </c:pt>
                <c:pt idx="100">
                  <c:v>23.637209302325584</c:v>
                </c:pt>
                <c:pt idx="101">
                  <c:v>23.637209302325584</c:v>
                </c:pt>
                <c:pt idx="102">
                  <c:v>23.637209302325584</c:v>
                </c:pt>
                <c:pt idx="103">
                  <c:v>23.637209302325584</c:v>
                </c:pt>
                <c:pt idx="104">
                  <c:v>23.637209302325584</c:v>
                </c:pt>
              </c:numCache>
            </c:numRef>
          </c:yVal>
          <c:smooth val="0"/>
        </c:ser>
        <c:ser>
          <c:idx val="0"/>
          <c:order val="4"/>
          <c:tx>
            <c:v>Axes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Panels!$R$2:$R$6</c:f>
              <c:numCache>
                <c:ptCount val="5"/>
                <c:pt idx="0">
                  <c:v>-5</c:v>
                </c:pt>
                <c:pt idx="1">
                  <c:v>-5</c:v>
                </c:pt>
                <c:pt idx="3">
                  <c:v>-5</c:v>
                </c:pt>
                <c:pt idx="4">
                  <c:v>80</c:v>
                </c:pt>
              </c:numCache>
            </c:numRef>
          </c:xVal>
          <c:yVal>
            <c:numRef>
              <c:f>Panels!$S$2:$S$6</c:f>
              <c:numCache>
                <c:ptCount val="5"/>
                <c:pt idx="0">
                  <c:v>-5</c:v>
                </c:pt>
                <c:pt idx="1">
                  <c:v>80</c:v>
                </c:pt>
                <c:pt idx="3">
                  <c:v>-5</c:v>
                </c:pt>
                <c:pt idx="4">
                  <c:v>-5</c:v>
                </c:pt>
              </c:numCache>
            </c:numRef>
          </c:yVal>
          <c:smooth val="0"/>
        </c:ser>
        <c:ser>
          <c:idx val="3"/>
          <c:order val="5"/>
          <c:tx>
            <c:v>Guides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Guides!$F$2:$F$28</c:f>
              <c:numCache/>
            </c:numRef>
          </c:xVal>
          <c:yVal>
            <c:numRef>
              <c:f>Guides!$G$2:$G$28</c:f>
              <c:numCache/>
            </c:numRef>
          </c:yVal>
          <c:smooth val="0"/>
        </c:ser>
        <c:axId val="28183596"/>
        <c:axId val="52325773"/>
      </c:scatterChart>
      <c:valAx>
        <c:axId val="281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2325773"/>
        <c:crosses val="autoZero"/>
        <c:crossBetween val="midCat"/>
        <c:dispUnits/>
      </c:valAx>
      <c:valAx>
        <c:axId val="52325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8183596"/>
        <c:crosses val="autoZero"/>
        <c:crossBetween val="midCat"/>
        <c:dispUnits/>
      </c:valAx>
      <c:spPr>
        <a:noFill/>
        <a:ln w="12700">
          <a:solidFill>
            <a:srgbClr val="000000"/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10</xdr:row>
      <xdr:rowOff>0</xdr:rowOff>
    </xdr:from>
    <xdr:ext cx="5486400" cy="5486400"/>
    <xdr:graphicFrame>
      <xdr:nvGraphicFramePr>
        <xdr:cNvPr id="1" name="Chart 6"/>
        <xdr:cNvGraphicFramePr/>
      </xdr:nvGraphicFramePr>
      <xdr:xfrm>
        <a:off x="3333750" y="1466850"/>
        <a:ext cx="54864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104775</xdr:colOff>
      <xdr:row>3</xdr:row>
      <xdr:rowOff>0</xdr:rowOff>
    </xdr:from>
    <xdr:ext cx="5486400" cy="5467350"/>
    <xdr:graphicFrame>
      <xdr:nvGraphicFramePr>
        <xdr:cNvPr id="1" name="Chart 6"/>
        <xdr:cNvGraphicFramePr/>
      </xdr:nvGraphicFramePr>
      <xdr:xfrm>
        <a:off x="5324475" y="438150"/>
        <a:ext cx="54864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19050</xdr:rowOff>
    </xdr:from>
    <xdr:ext cx="7315200" cy="7315200"/>
    <xdr:graphicFrame>
      <xdr:nvGraphicFramePr>
        <xdr:cNvPr id="1" name="Chart 6"/>
        <xdr:cNvGraphicFramePr/>
      </xdr:nvGraphicFramePr>
      <xdr:xfrm>
        <a:off x="4371975" y="180975"/>
        <a:ext cx="731520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78"/>
  <sheetViews>
    <sheetView showGridLines="0" showRowColHeaders="0" tabSelected="1" zoomScalePageLayoutView="0" workbookViewId="0" topLeftCell="A4">
      <selection activeCell="R51" sqref="R51"/>
    </sheetView>
  </sheetViews>
  <sheetFormatPr defaultColWidth="9.140625" defaultRowHeight="12.75"/>
  <cols>
    <col min="1" max="1" width="1.57421875" style="124" bestFit="1" customWidth="1"/>
    <col min="2" max="2" width="25.00390625" style="124" bestFit="1" customWidth="1"/>
    <col min="3" max="3" width="1.8515625" style="124" bestFit="1" customWidth="1"/>
    <col min="4" max="4" width="7.57421875" style="124" bestFit="1" customWidth="1"/>
    <col min="5" max="5" width="5.00390625" style="124" bestFit="1" customWidth="1"/>
    <col min="6" max="6" width="4.00390625" style="124" bestFit="1" customWidth="1"/>
    <col min="7" max="8" width="2.57421875" style="124" bestFit="1" customWidth="1"/>
    <col min="9" max="16384" width="9.140625" style="124" customWidth="1"/>
  </cols>
  <sheetData>
    <row r="1" spans="1:4" ht="11.25">
      <c r="A1" s="124" t="s">
        <v>166</v>
      </c>
      <c r="B1" s="2" t="s">
        <v>162</v>
      </c>
      <c r="C1" s="2" t="s">
        <v>0</v>
      </c>
      <c r="D1" s="130" t="s">
        <v>198</v>
      </c>
    </row>
    <row r="2" spans="2:12" ht="11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1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ht="11.2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1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2:12" ht="12" thickBot="1">
      <c r="B6" s="2" t="s">
        <v>79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2:12" ht="12" thickBot="1">
      <c r="B7" s="132" t="s">
        <v>80</v>
      </c>
      <c r="C7" s="132" t="s">
        <v>0</v>
      </c>
      <c r="D7" s="344" t="s">
        <v>197</v>
      </c>
      <c r="E7" s="345"/>
      <c r="F7" s="345"/>
      <c r="G7" s="345"/>
      <c r="H7" s="345"/>
      <c r="I7" s="345"/>
      <c r="J7" s="345"/>
      <c r="K7" s="345"/>
      <c r="L7" s="346"/>
    </row>
    <row r="8" spans="2:12" ht="12" thickBot="1">
      <c r="B8" s="132" t="s">
        <v>81</v>
      </c>
      <c r="C8" s="132" t="s">
        <v>0</v>
      </c>
      <c r="D8" s="344" t="s">
        <v>82</v>
      </c>
      <c r="E8" s="345"/>
      <c r="F8" s="345"/>
      <c r="G8" s="345"/>
      <c r="H8" s="345"/>
      <c r="I8" s="345"/>
      <c r="J8" s="345"/>
      <c r="K8" s="345"/>
      <c r="L8" s="346"/>
    </row>
    <row r="9" spans="2:12" ht="11.25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2:12" ht="12" thickBot="1">
      <c r="B10" s="2" t="s">
        <v>83</v>
      </c>
      <c r="E10" s="131"/>
      <c r="F10" s="131"/>
      <c r="G10" s="131"/>
      <c r="H10" s="131"/>
      <c r="I10" s="131"/>
      <c r="J10" s="131"/>
      <c r="K10" s="131"/>
      <c r="L10" s="131"/>
    </row>
    <row r="11" spans="2:12" ht="12" thickBot="1">
      <c r="B11" s="132" t="s">
        <v>84</v>
      </c>
      <c r="C11" s="133" t="s">
        <v>0</v>
      </c>
      <c r="D11" s="134">
        <v>12</v>
      </c>
      <c r="E11" s="131" t="s">
        <v>40</v>
      </c>
      <c r="F11" s="131"/>
      <c r="G11" s="131"/>
      <c r="H11" s="131"/>
      <c r="I11" s="131"/>
      <c r="J11" s="131"/>
      <c r="K11" s="131"/>
      <c r="L11" s="131"/>
    </row>
    <row r="12" spans="2:12" ht="11.25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2:12" ht="12" thickBot="1">
      <c r="B13" s="2" t="s">
        <v>85</v>
      </c>
      <c r="E13" s="131"/>
      <c r="F13" s="131"/>
      <c r="G13" s="131"/>
      <c r="H13" s="131"/>
      <c r="I13" s="131"/>
      <c r="J13" s="131"/>
      <c r="K13" s="131"/>
      <c r="L13" s="131"/>
    </row>
    <row r="14" spans="2:12" ht="12" thickBot="1">
      <c r="B14" s="132" t="s">
        <v>59</v>
      </c>
      <c r="C14" s="133" t="s">
        <v>0</v>
      </c>
      <c r="D14" s="134">
        <v>545.4</v>
      </c>
      <c r="E14" s="131" t="s">
        <v>18</v>
      </c>
      <c r="F14" s="131"/>
      <c r="G14" s="131"/>
      <c r="H14" s="131"/>
      <c r="I14" s="131"/>
      <c r="J14" s="131"/>
      <c r="K14" s="131"/>
      <c r="L14" s="131"/>
    </row>
    <row r="15" spans="2:12" ht="12" thickBot="1">
      <c r="B15" s="132" t="s">
        <v>65</v>
      </c>
      <c r="C15" s="133" t="s">
        <v>0</v>
      </c>
      <c r="D15" s="135">
        <v>3.89</v>
      </c>
      <c r="E15" s="131" t="s">
        <v>86</v>
      </c>
      <c r="F15" s="131"/>
      <c r="G15" s="131"/>
      <c r="H15" s="131"/>
      <c r="I15" s="131"/>
      <c r="J15" s="131"/>
      <c r="K15" s="131"/>
      <c r="L15" s="131"/>
    </row>
    <row r="16" spans="2:12" ht="12" thickBot="1">
      <c r="B16" s="132" t="s">
        <v>87</v>
      </c>
      <c r="C16" s="133" t="s">
        <v>0</v>
      </c>
      <c r="D16" s="136">
        <v>36.002102397794616</v>
      </c>
      <c r="E16" s="131" t="s">
        <v>88</v>
      </c>
      <c r="F16" s="131"/>
      <c r="G16" s="131"/>
      <c r="H16" s="131"/>
      <c r="I16" s="131"/>
      <c r="J16" s="131"/>
      <c r="K16" s="131"/>
      <c r="L16" s="131"/>
    </row>
    <row r="17" spans="2:12" ht="12" thickBot="1">
      <c r="B17" s="132" t="s">
        <v>89</v>
      </c>
      <c r="C17" s="133" t="s">
        <v>0</v>
      </c>
      <c r="D17" s="136">
        <v>106.86589634159999</v>
      </c>
      <c r="E17" s="131" t="s">
        <v>19</v>
      </c>
      <c r="F17" s="131"/>
      <c r="G17" s="131"/>
      <c r="H17" s="131"/>
      <c r="I17" s="131"/>
      <c r="J17" s="131"/>
      <c r="K17" s="131"/>
      <c r="L17" s="131"/>
    </row>
    <row r="18" spans="2:12" ht="12" thickBot="1">
      <c r="B18" s="132" t="s">
        <v>90</v>
      </c>
      <c r="C18" s="133" t="s">
        <v>0</v>
      </c>
      <c r="D18" s="136">
        <v>0.32018593128892836</v>
      </c>
      <c r="E18" s="131"/>
      <c r="F18" s="131"/>
      <c r="G18" s="131"/>
      <c r="H18" s="131"/>
      <c r="I18" s="131"/>
      <c r="J18" s="131"/>
      <c r="K18" s="131"/>
      <c r="L18" s="131"/>
    </row>
    <row r="19" spans="2:12" ht="12" thickBot="1">
      <c r="B19" s="132" t="s">
        <v>91</v>
      </c>
      <c r="C19" s="133" t="s">
        <v>0</v>
      </c>
      <c r="D19" s="136">
        <v>8.360369294975097</v>
      </c>
      <c r="E19" s="131"/>
      <c r="F19" s="131"/>
      <c r="G19" s="131"/>
      <c r="H19" s="131"/>
      <c r="I19" s="131"/>
      <c r="J19" s="131"/>
      <c r="K19" s="131"/>
      <c r="L19" s="131"/>
    </row>
    <row r="20" spans="2:12" ht="12" thickBot="1">
      <c r="B20" s="132" t="s">
        <v>92</v>
      </c>
      <c r="C20" s="133" t="s">
        <v>0</v>
      </c>
      <c r="D20" s="137">
        <f>(Driver_Qms*Driver_Qes)/(Driver_Qms+Driver_Qes)</f>
        <v>0.30837573851633066</v>
      </c>
      <c r="E20" s="131"/>
      <c r="F20" s="131"/>
      <c r="G20" s="131"/>
      <c r="H20" s="131"/>
      <c r="I20" s="131"/>
      <c r="J20" s="131"/>
      <c r="K20" s="131"/>
      <c r="L20" s="131"/>
    </row>
    <row r="21" spans="2:12" ht="12" thickBot="1">
      <c r="B21" s="132" t="s">
        <v>64</v>
      </c>
      <c r="C21" s="133" t="s">
        <v>0</v>
      </c>
      <c r="D21" s="135">
        <v>0.66</v>
      </c>
      <c r="E21" s="131" t="s">
        <v>93</v>
      </c>
      <c r="F21" s="131"/>
      <c r="G21" s="131"/>
      <c r="H21" s="131"/>
      <c r="I21" s="131"/>
      <c r="J21" s="131"/>
      <c r="K21" s="131"/>
      <c r="L21" s="131"/>
    </row>
    <row r="22" spans="2:12" ht="12" thickBot="1">
      <c r="B22" s="138" t="s">
        <v>70</v>
      </c>
      <c r="C22" s="139" t="s">
        <v>0</v>
      </c>
      <c r="D22" s="135">
        <v>1100</v>
      </c>
      <c r="E22" s="131" t="s">
        <v>94</v>
      </c>
      <c r="F22" s="131"/>
      <c r="G22" s="131"/>
      <c r="H22" s="131"/>
      <c r="I22" s="131"/>
      <c r="J22" s="131"/>
      <c r="K22" s="131"/>
      <c r="L22" s="131"/>
    </row>
    <row r="23" spans="2:12" ht="12" thickBot="1">
      <c r="B23" s="138" t="s">
        <v>71</v>
      </c>
      <c r="C23" s="139" t="s">
        <v>0</v>
      </c>
      <c r="D23" s="140">
        <v>9.1</v>
      </c>
      <c r="E23" s="131" t="s">
        <v>95</v>
      </c>
      <c r="F23" s="131"/>
      <c r="G23" s="131"/>
      <c r="H23" s="131"/>
      <c r="I23" s="131"/>
      <c r="J23" s="131"/>
      <c r="K23" s="131"/>
      <c r="L23" s="131"/>
    </row>
    <row r="24" spans="2:12" ht="11.25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2:12" ht="12" thickBot="1">
      <c r="B25" s="2" t="s">
        <v>96</v>
      </c>
      <c r="E25" s="131"/>
      <c r="F25" s="131"/>
      <c r="G25" s="131"/>
      <c r="H25" s="131"/>
      <c r="I25" s="131"/>
      <c r="J25" s="131"/>
      <c r="K25" s="131"/>
      <c r="L25" s="131"/>
    </row>
    <row r="26" spans="2:12" ht="12" thickBot="1">
      <c r="B26" s="132" t="s">
        <v>97</v>
      </c>
      <c r="C26" s="133" t="s">
        <v>0</v>
      </c>
      <c r="D26" s="135">
        <v>3.16</v>
      </c>
      <c r="E26" s="131" t="s">
        <v>86</v>
      </c>
      <c r="F26" s="131"/>
      <c r="G26" s="131"/>
      <c r="H26" s="131"/>
      <c r="I26" s="131"/>
      <c r="J26" s="131"/>
      <c r="K26" s="131"/>
      <c r="L26" s="131"/>
    </row>
    <row r="27" spans="2:12" ht="12" thickBot="1">
      <c r="B27" s="132" t="s">
        <v>98</v>
      </c>
      <c r="C27" s="133" t="s">
        <v>0</v>
      </c>
      <c r="D27" s="135">
        <v>0.47</v>
      </c>
      <c r="E27" s="131" t="s">
        <v>93</v>
      </c>
      <c r="F27" s="131"/>
      <c r="G27" s="131"/>
      <c r="H27" s="131"/>
      <c r="I27" s="131"/>
      <c r="J27" s="131"/>
      <c r="K27" s="131"/>
      <c r="L27" s="131"/>
    </row>
    <row r="28" spans="2:12" ht="12" thickBot="1">
      <c r="B28" s="132" t="s">
        <v>64</v>
      </c>
      <c r="C28" s="133" t="s">
        <v>0</v>
      </c>
      <c r="D28" s="135">
        <v>22.96</v>
      </c>
      <c r="E28" s="131" t="s">
        <v>93</v>
      </c>
      <c r="F28" s="131"/>
      <c r="G28" s="131"/>
      <c r="H28" s="131"/>
      <c r="I28" s="131"/>
      <c r="J28" s="131"/>
      <c r="K28" s="131"/>
      <c r="L28" s="131"/>
    </row>
    <row r="29" spans="2:12" ht="12" thickBot="1">
      <c r="B29" s="132" t="s">
        <v>99</v>
      </c>
      <c r="C29" s="133" t="s">
        <v>0</v>
      </c>
      <c r="D29" s="135">
        <v>0.08</v>
      </c>
      <c r="E29" s="131" t="s">
        <v>100</v>
      </c>
      <c r="F29" s="131"/>
      <c r="G29" s="131"/>
      <c r="H29" s="131"/>
      <c r="I29" s="131"/>
      <c r="J29" s="131"/>
      <c r="K29" s="131"/>
      <c r="L29" s="131"/>
    </row>
    <row r="30" spans="2:12" ht="12" thickBot="1">
      <c r="B30" s="132" t="s">
        <v>101</v>
      </c>
      <c r="C30" s="133" t="s">
        <v>0</v>
      </c>
      <c r="D30" s="135">
        <v>50.07</v>
      </c>
      <c r="E30" s="131" t="s">
        <v>86</v>
      </c>
      <c r="F30" s="131"/>
      <c r="G30" s="131"/>
      <c r="H30" s="131"/>
      <c r="I30" s="131"/>
      <c r="J30" s="131"/>
      <c r="K30" s="131"/>
      <c r="L30" s="131"/>
    </row>
    <row r="31" ht="11.25"/>
    <row r="32" ht="12" thickBot="1">
      <c r="B32" s="2" t="s">
        <v>46</v>
      </c>
    </row>
    <row r="33" spans="2:7" ht="12" thickBot="1">
      <c r="B33" s="132" t="s">
        <v>23</v>
      </c>
      <c r="C33" s="133" t="s">
        <v>0</v>
      </c>
      <c r="D33" s="141">
        <v>31.8</v>
      </c>
      <c r="E33" s="124" t="s">
        <v>22</v>
      </c>
      <c r="F33" s="142">
        <f>D33/2.54</f>
        <v>12.51968503937008</v>
      </c>
      <c r="G33" s="124" t="s">
        <v>102</v>
      </c>
    </row>
    <row r="34" spans="2:7" ht="12" thickBot="1">
      <c r="B34" s="132" t="s">
        <v>27</v>
      </c>
      <c r="C34" s="133" t="s">
        <v>0</v>
      </c>
      <c r="D34" s="141">
        <v>27.9</v>
      </c>
      <c r="E34" s="124" t="s">
        <v>22</v>
      </c>
      <c r="F34" s="142">
        <f>D34/2.54</f>
        <v>10.984251968503937</v>
      </c>
      <c r="G34" s="124" t="s">
        <v>102</v>
      </c>
    </row>
    <row r="35" spans="2:7" ht="12" thickBot="1">
      <c r="B35" s="132" t="s">
        <v>28</v>
      </c>
      <c r="C35" s="133" t="s">
        <v>0</v>
      </c>
      <c r="D35" s="141">
        <v>12.7</v>
      </c>
      <c r="E35" s="124" t="s">
        <v>22</v>
      </c>
      <c r="F35" s="142">
        <f>D35/2.54</f>
        <v>5</v>
      </c>
      <c r="G35" s="124" t="s">
        <v>102</v>
      </c>
    </row>
    <row r="36" spans="2:7" ht="12" thickBot="1">
      <c r="B36" s="132" t="s">
        <v>24</v>
      </c>
      <c r="C36" s="133" t="s">
        <v>0</v>
      </c>
      <c r="D36" s="141">
        <v>19</v>
      </c>
      <c r="E36" s="124" t="s">
        <v>22</v>
      </c>
      <c r="F36" s="142">
        <f>D36/2.54</f>
        <v>7.480314960629921</v>
      </c>
      <c r="G36" s="124" t="s">
        <v>102</v>
      </c>
    </row>
    <row r="37" spans="2:7" ht="12" thickBot="1">
      <c r="B37" s="138" t="s">
        <v>25</v>
      </c>
      <c r="C37" s="139" t="s">
        <v>0</v>
      </c>
      <c r="D37" s="143">
        <v>5.08</v>
      </c>
      <c r="E37" s="124" t="s">
        <v>22</v>
      </c>
      <c r="F37" s="144">
        <f>D37/2.54</f>
        <v>2</v>
      </c>
      <c r="G37" s="124" t="s">
        <v>102</v>
      </c>
    </row>
    <row r="38" spans="2:5" ht="12" thickBot="1">
      <c r="B38" s="138" t="s">
        <v>50</v>
      </c>
      <c r="C38" s="139" t="s">
        <v>0</v>
      </c>
      <c r="D38" s="113">
        <v>2</v>
      </c>
      <c r="E38" s="124" t="s">
        <v>19</v>
      </c>
    </row>
    <row r="39" ht="11.25"/>
    <row r="40" ht="11.25"/>
    <row r="41" spans="2:6" ht="12" thickBot="1">
      <c r="B41" s="2" t="s">
        <v>103</v>
      </c>
      <c r="E41" s="131"/>
      <c r="F41" s="131"/>
    </row>
    <row r="42" spans="2:6" ht="12" thickBot="1">
      <c r="B42" s="132" t="s">
        <v>104</v>
      </c>
      <c r="C42" s="133" t="s">
        <v>0</v>
      </c>
      <c r="D42" s="145">
        <v>54.57195372750643</v>
      </c>
      <c r="E42" s="131"/>
      <c r="F42" s="131"/>
    </row>
    <row r="43" spans="2:6" ht="12" thickBot="1">
      <c r="B43" s="132" t="s">
        <v>105</v>
      </c>
      <c r="C43" s="133" t="s">
        <v>0</v>
      </c>
      <c r="D43" s="146">
        <f>ROUND(Driver_Fs/Driver_Qts,1)</f>
        <v>116.7</v>
      </c>
      <c r="E43" s="131"/>
      <c r="F43" s="131"/>
    </row>
    <row r="44" spans="2:6" ht="12" thickBot="1">
      <c r="B44" s="132" t="s">
        <v>106</v>
      </c>
      <c r="C44" s="133" t="s">
        <v>0</v>
      </c>
      <c r="D44" s="146">
        <f>ROUND(Driver_Vas*Driver_Fs^2/1000,1)</f>
        <v>138.5</v>
      </c>
      <c r="E44" s="131"/>
      <c r="F44" s="131"/>
    </row>
    <row r="45" spans="2:6" ht="11.25">
      <c r="B45" s="131"/>
      <c r="C45" s="131"/>
      <c r="D45" s="131"/>
      <c r="E45" s="131"/>
      <c r="F45" s="131"/>
    </row>
    <row r="46" spans="2:6" ht="11.25">
      <c r="B46" s="131"/>
      <c r="C46" s="131"/>
      <c r="D46" s="131"/>
      <c r="E46" s="131"/>
      <c r="F46" s="131"/>
    </row>
    <row r="47" spans="2:6" ht="11.25">
      <c r="B47" s="147" t="s">
        <v>107</v>
      </c>
      <c r="C47" s="131"/>
      <c r="D47" s="131"/>
      <c r="E47" s="131"/>
      <c r="F47" s="131"/>
    </row>
    <row r="48" spans="2:6" ht="11.25">
      <c r="B48" s="148" t="str">
        <f>Driver_Name</f>
        <v>Eminence Kappalite 3012LF-4</v>
      </c>
      <c r="C48" s="149"/>
      <c r="D48" s="149"/>
      <c r="E48" s="149"/>
      <c r="F48" s="150"/>
    </row>
    <row r="49" spans="2:6" ht="11.25">
      <c r="B49" s="151"/>
      <c r="C49" s="152"/>
      <c r="D49" s="152"/>
      <c r="E49" s="152"/>
      <c r="F49" s="153"/>
    </row>
    <row r="50" spans="2:6" ht="11.25">
      <c r="B50" s="151" t="str">
        <f>CONCATENATE("Sd=",numSd)</f>
        <v>Sd=545.4</v>
      </c>
      <c r="C50" s="152"/>
      <c r="D50" s="152"/>
      <c r="E50" s="152"/>
      <c r="F50" s="153"/>
    </row>
    <row r="51" spans="2:6" ht="11.25">
      <c r="B51" s="151" t="str">
        <f>CONCATENATE("Bl=",numBL)</f>
        <v>Bl=14.57</v>
      </c>
      <c r="C51" s="152"/>
      <c r="D51" s="152"/>
      <c r="E51" s="152"/>
      <c r="F51" s="153"/>
    </row>
    <row r="52" spans="2:6" ht="11.25">
      <c r="B52" s="151" t="str">
        <f>CONCATENATE("Cms=",ROUND(numCms,6))</f>
        <v>Cms=0.000253</v>
      </c>
      <c r="C52" s="152"/>
      <c r="D52" s="152"/>
      <c r="E52" s="152"/>
      <c r="F52" s="153"/>
    </row>
    <row r="53" spans="2:6" ht="11.25">
      <c r="B53" s="151" t="str">
        <f>CONCATENATE("Rms=",numRms)</f>
        <v>Rms=2.09</v>
      </c>
      <c r="C53" s="152"/>
      <c r="D53" s="152"/>
      <c r="E53" s="152"/>
      <c r="F53" s="153"/>
    </row>
    <row r="54" spans="2:6" ht="11.25">
      <c r="B54" s="151" t="str">
        <f>CONCATENATE("Mmd=",numMmd)</f>
        <v>Mmd=69.92</v>
      </c>
      <c r="C54" s="152"/>
      <c r="D54" s="152"/>
      <c r="E54" s="152"/>
      <c r="F54" s="153"/>
    </row>
    <row r="55" spans="2:6" ht="11.25">
      <c r="B55" s="151" t="str">
        <f>CONCATENATE("Le=",numLe)</f>
        <v>Le=0.66</v>
      </c>
      <c r="C55" s="152"/>
      <c r="D55" s="152"/>
      <c r="E55" s="152"/>
      <c r="F55" s="153"/>
    </row>
    <row r="56" spans="2:6" ht="11.25">
      <c r="B56" s="151" t="str">
        <f>CONCATENATE("Re=",numRe)</f>
        <v>Re=3.89</v>
      </c>
      <c r="C56" s="152"/>
      <c r="D56" s="152"/>
      <c r="E56" s="152"/>
      <c r="F56" s="153"/>
    </row>
    <row r="57" spans="2:6" ht="11.25">
      <c r="B57" s="151" t="str">
        <f>CONCATENATE("Pmax=",Driver_Pmax)</f>
        <v>Pmax=1100</v>
      </c>
      <c r="C57" s="152"/>
      <c r="D57" s="152"/>
      <c r="E57" s="152"/>
      <c r="F57" s="153"/>
    </row>
    <row r="58" spans="2:6" ht="11.25">
      <c r="B58" s="151" t="str">
        <f>CONCATENATE("Xmax=",Driver_Xmax)</f>
        <v>Xmax=9.1</v>
      </c>
      <c r="C58" s="152"/>
      <c r="D58" s="152"/>
      <c r="E58" s="152"/>
      <c r="F58" s="153"/>
    </row>
    <row r="59" spans="2:6" ht="11.25">
      <c r="B59" s="151" t="str">
        <f>CONCATENATE("Re'=",Driver_Re1)</f>
        <v>Re'=3.16</v>
      </c>
      <c r="C59" s="152"/>
      <c r="D59" s="152"/>
      <c r="E59" s="152"/>
      <c r="F59" s="153"/>
    </row>
    <row r="60" spans="2:6" ht="11.25">
      <c r="B60" s="151" t="str">
        <f>CONCATENATE("Leb=",Driver_Leb)</f>
        <v>Leb=0.47</v>
      </c>
      <c r="C60" s="152"/>
      <c r="D60" s="152"/>
      <c r="E60" s="152"/>
      <c r="F60" s="153"/>
    </row>
    <row r="61" spans="2:6" ht="11.25">
      <c r="B61" s="151" t="str">
        <f>CONCATENATE("Le=",Driver_Le1)</f>
        <v>Le=22.96</v>
      </c>
      <c r="C61" s="152"/>
      <c r="D61" s="152"/>
      <c r="E61" s="152"/>
      <c r="F61" s="153"/>
    </row>
    <row r="62" spans="2:6" ht="11.25">
      <c r="B62" s="151" t="str">
        <f>CONCATENATE("Ke=",Driver_Ke)</f>
        <v>Ke=0.08</v>
      </c>
      <c r="C62" s="152"/>
      <c r="D62" s="152"/>
      <c r="E62" s="152"/>
      <c r="F62" s="153"/>
    </row>
    <row r="63" spans="2:6" ht="11.25">
      <c r="B63" s="151" t="str">
        <f>CONCATENATE("Rss=",Driver_Rss)</f>
        <v>Rss=50.07</v>
      </c>
      <c r="C63" s="152"/>
      <c r="D63" s="152"/>
      <c r="E63" s="152"/>
      <c r="F63" s="153"/>
    </row>
    <row r="64" spans="2:6" ht="11.25">
      <c r="B64" s="151" t="str">
        <f>CONCATENATE("Rms=",0)</f>
        <v>Rms=0</v>
      </c>
      <c r="C64" s="152"/>
      <c r="D64" s="152"/>
      <c r="E64" s="152"/>
      <c r="F64" s="153"/>
    </row>
    <row r="65" spans="2:6" ht="11.25">
      <c r="B65" s="151" t="str">
        <f>CONCATENATE("Ams=0")</f>
        <v>Ams=0</v>
      </c>
      <c r="C65" s="152"/>
      <c r="D65" s="152"/>
      <c r="E65" s="152"/>
      <c r="F65" s="153"/>
    </row>
    <row r="66" spans="2:6" ht="11.25">
      <c r="B66" s="151" t="s">
        <v>108</v>
      </c>
      <c r="C66" s="152"/>
      <c r="D66" s="152"/>
      <c r="E66" s="152"/>
      <c r="F66" s="153"/>
    </row>
    <row r="67" spans="2:6" ht="11.25">
      <c r="B67" s="151" t="str">
        <f>IF(numRe1&gt;0,"SemiInductance=1","SemiInductance=0")</f>
        <v>SemiInductance=1</v>
      </c>
      <c r="C67" s="152"/>
      <c r="D67" s="152"/>
      <c r="E67" s="152"/>
      <c r="F67" s="153"/>
    </row>
    <row r="68" spans="2:6" ht="11.25">
      <c r="B68" s="154" t="str">
        <f>"Damping=0"</f>
        <v>Damping=0</v>
      </c>
      <c r="C68" s="155"/>
      <c r="D68" s="155"/>
      <c r="E68" s="155"/>
      <c r="F68" s="156"/>
    </row>
    <row r="69" spans="2:6" ht="11.25">
      <c r="B69" s="131"/>
      <c r="C69" s="131"/>
      <c r="D69" s="131"/>
      <c r="E69" s="131"/>
      <c r="F69" s="131"/>
    </row>
    <row r="70" spans="2:6" ht="11.25">
      <c r="B70" s="147" t="s">
        <v>109</v>
      </c>
      <c r="C70" s="131"/>
      <c r="D70" s="131"/>
      <c r="E70" s="131"/>
      <c r="F70" s="131"/>
    </row>
    <row r="71" spans="2:6" ht="11.25">
      <c r="B71" s="157" t="str">
        <f>CONCATENATE("Driver=",Driver_Name)</f>
        <v>Driver=Eminence Kappalite 3012LF-4</v>
      </c>
      <c r="C71" s="158"/>
      <c r="D71" s="158"/>
      <c r="E71" s="158"/>
      <c r="F71" s="159"/>
    </row>
    <row r="72" spans="2:6" ht="11.25">
      <c r="B72" s="160" t="str">
        <f>CONCATENATE("FrameW=",Driver_FrameW)</f>
        <v>FrameW=31.8</v>
      </c>
      <c r="C72" s="161"/>
      <c r="D72" s="161"/>
      <c r="E72" s="161"/>
      <c r="F72" s="162"/>
    </row>
    <row r="73" spans="2:6" ht="11.25">
      <c r="B73" s="160" t="str">
        <f>CONCATENATE("MountingW=",Driver_MountingW)</f>
        <v>MountingW=27.9</v>
      </c>
      <c r="C73" s="161"/>
      <c r="D73" s="161"/>
      <c r="E73" s="161"/>
      <c r="F73" s="162"/>
    </row>
    <row r="74" spans="2:6" ht="11.25">
      <c r="B74" s="160" t="str">
        <f>CONCATENATE("MountingD=",Driver_RearMountingD)</f>
        <v>MountingD=12.7</v>
      </c>
      <c r="C74" s="161"/>
      <c r="D74" s="161"/>
      <c r="E74" s="161"/>
      <c r="F74" s="162"/>
    </row>
    <row r="75" spans="2:6" ht="11.25">
      <c r="B75" s="160" t="str">
        <f>CONCATENATE("MagnetW=",Driver_MagnetW)</f>
        <v>MagnetW=19</v>
      </c>
      <c r="C75" s="161"/>
      <c r="D75" s="161"/>
      <c r="E75" s="161"/>
      <c r="F75" s="162"/>
    </row>
    <row r="76" spans="2:6" ht="11.25">
      <c r="B76" s="160" t="str">
        <f>CONCATENATE("MagnetH=",Driver_MagnetH)</f>
        <v>MagnetH=5.08</v>
      </c>
      <c r="C76" s="161"/>
      <c r="D76" s="161"/>
      <c r="E76" s="161"/>
      <c r="F76" s="162"/>
    </row>
    <row r="77" spans="2:6" ht="11.25">
      <c r="B77" s="160" t="str">
        <f>CONCATENATE("ConeVol=",Driver_Conevol)</f>
        <v>ConeVol=2</v>
      </c>
      <c r="C77" s="161"/>
      <c r="D77" s="161"/>
      <c r="E77" s="161"/>
      <c r="F77" s="162"/>
    </row>
    <row r="78" spans="2:6" ht="11.25">
      <c r="B78" s="163" t="str">
        <f>CONCATENATE("FrontMountVol=",Driver_FrontMountVol)</f>
        <v>FrontMountVol=</v>
      </c>
      <c r="C78" s="164"/>
      <c r="D78" s="164"/>
      <c r="E78" s="164"/>
      <c r="F78" s="165"/>
    </row>
  </sheetData>
  <sheetProtection sheet="1"/>
  <protectedRanges>
    <protectedRange sqref="D33:D37" name="Range1"/>
    <protectedRange sqref="D14:D19 D21:D23 D26:D30 D7:D8 D11" name="Range1_1"/>
  </protectedRanges>
  <mergeCells count="2">
    <mergeCell ref="D7:L7"/>
    <mergeCell ref="D8:L8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R439"/>
  <sheetViews>
    <sheetView showGridLines="0" showRowColHeaders="0" zoomScalePageLayoutView="0" workbookViewId="0" topLeftCell="A1">
      <selection activeCell="N97" sqref="N97"/>
    </sheetView>
  </sheetViews>
  <sheetFormatPr defaultColWidth="9.140625" defaultRowHeight="12.75"/>
  <cols>
    <col min="1" max="1" width="2.140625" style="65" bestFit="1" customWidth="1"/>
    <col min="2" max="2" width="19.8515625" style="65" bestFit="1" customWidth="1"/>
    <col min="3" max="3" width="1.8515625" style="65" bestFit="1" customWidth="1"/>
    <col min="4" max="4" width="7.57421875" style="65" bestFit="1" customWidth="1"/>
    <col min="5" max="5" width="5.00390625" style="65" bestFit="1" customWidth="1"/>
    <col min="6" max="6" width="4.8515625" style="65" bestFit="1" customWidth="1"/>
    <col min="7" max="7" width="7.140625" style="65" bestFit="1" customWidth="1"/>
    <col min="8" max="8" width="6.421875" style="65" bestFit="1" customWidth="1"/>
    <col min="9" max="9" width="18.00390625" style="65" bestFit="1" customWidth="1"/>
    <col min="10" max="10" width="1.421875" style="65" bestFit="1" customWidth="1"/>
    <col min="11" max="11" width="4.00390625" style="65" bestFit="1" customWidth="1"/>
    <col min="12" max="12" width="1.57421875" style="65" bestFit="1" customWidth="1"/>
    <col min="13" max="13" width="3.7109375" style="65" bestFit="1" customWidth="1"/>
    <col min="14" max="14" width="6.00390625" style="65" customWidth="1"/>
    <col min="15" max="15" width="4.8515625" style="65" bestFit="1" customWidth="1"/>
    <col min="16" max="16" width="10.421875" style="65" bestFit="1" customWidth="1"/>
    <col min="17" max="17" width="3.7109375" style="65" bestFit="1" customWidth="1"/>
    <col min="18" max="18" width="4.00390625" style="65" bestFit="1" customWidth="1"/>
    <col min="19" max="19" width="4.8515625" style="65" bestFit="1" customWidth="1"/>
    <col min="20" max="20" width="5.7109375" style="65" bestFit="1" customWidth="1"/>
    <col min="21" max="22" width="4.8515625" style="65" bestFit="1" customWidth="1"/>
    <col min="23" max="23" width="5.7109375" style="65" bestFit="1" customWidth="1"/>
    <col min="24" max="24" width="4.8515625" style="65" bestFit="1" customWidth="1"/>
    <col min="25" max="26" width="9.8515625" style="65" customWidth="1"/>
    <col min="27" max="27" width="2.57421875" style="65" customWidth="1"/>
    <col min="28" max="28" width="17.8515625" style="65" bestFit="1" customWidth="1"/>
    <col min="29" max="29" width="2.7109375" style="65" bestFit="1" customWidth="1"/>
    <col min="30" max="30" width="5.28125" style="65" bestFit="1" customWidth="1"/>
    <col min="31" max="31" width="5.7109375" style="65" bestFit="1" customWidth="1"/>
    <col min="32" max="32" width="7.421875" style="65" bestFit="1" customWidth="1"/>
    <col min="33" max="33" width="5.28125" style="65" bestFit="1" customWidth="1"/>
    <col min="34" max="34" width="4.00390625" style="65" bestFit="1" customWidth="1"/>
    <col min="35" max="35" width="4.421875" style="65" bestFit="1" customWidth="1"/>
    <col min="36" max="36" width="5.421875" style="65" bestFit="1" customWidth="1"/>
    <col min="37" max="37" width="4.57421875" style="65" bestFit="1" customWidth="1"/>
    <col min="38" max="38" width="4.8515625" style="65" bestFit="1" customWidth="1"/>
    <col min="39" max="39" width="3.00390625" style="65" bestFit="1" customWidth="1"/>
    <col min="40" max="40" width="4.00390625" style="65" bestFit="1" customWidth="1"/>
    <col min="41" max="41" width="4.8515625" style="65" bestFit="1" customWidth="1"/>
    <col min="42" max="43" width="4.421875" style="65" bestFit="1" customWidth="1"/>
    <col min="44" max="44" width="5.00390625" style="65" bestFit="1" customWidth="1"/>
    <col min="45" max="45" width="2.00390625" style="65" bestFit="1" customWidth="1"/>
    <col min="46" max="46" width="4.421875" style="65" bestFit="1" customWidth="1"/>
    <col min="47" max="47" width="5.00390625" style="65" bestFit="1" customWidth="1"/>
    <col min="48" max="48" width="3.7109375" style="65" bestFit="1" customWidth="1"/>
    <col min="49" max="16384" width="9.140625" style="65" customWidth="1"/>
  </cols>
  <sheetData>
    <row r="1" spans="2:4" ht="11.25">
      <c r="B1" s="63" t="str">
        <f>Driver!B1</f>
        <v>BOXPLAN-PARAA</v>
      </c>
      <c r="C1" s="63" t="s">
        <v>0</v>
      </c>
      <c r="D1" s="64" t="str">
        <f>Driver!D1</f>
        <v>0.8 BETA</v>
      </c>
    </row>
    <row r="2" spans="2:4" ht="11.25">
      <c r="B2" s="2" t="s">
        <v>21</v>
      </c>
      <c r="C2" s="124" t="s">
        <v>0</v>
      </c>
      <c r="D2" s="2" t="str">
        <f>Driver_Name</f>
        <v>Eminence Kappalite 3012LF-4</v>
      </c>
    </row>
    <row r="3" spans="2:3" ht="12" thickBot="1">
      <c r="B3" s="63" t="s">
        <v>46</v>
      </c>
      <c r="C3" s="124"/>
    </row>
    <row r="4" spans="2:12" ht="12" thickBot="1">
      <c r="B4" s="66" t="s">
        <v>23</v>
      </c>
      <c r="C4" s="127" t="s">
        <v>0</v>
      </c>
      <c r="D4" s="180">
        <f>Driver_FrameW</f>
        <v>31.8</v>
      </c>
      <c r="E4" s="65" t="s">
        <v>22</v>
      </c>
      <c r="F4" s="67">
        <f>D4/2.54</f>
        <v>12.51968503937008</v>
      </c>
      <c r="G4" s="65" t="s">
        <v>40</v>
      </c>
      <c r="H4" s="68"/>
      <c r="I4" s="69" t="s">
        <v>26</v>
      </c>
      <c r="J4" s="69"/>
      <c r="K4" s="70"/>
      <c r="L4" s="124" t="s">
        <v>166</v>
      </c>
    </row>
    <row r="5" spans="2:11" ht="12" thickBot="1">
      <c r="B5" s="66" t="s">
        <v>27</v>
      </c>
      <c r="C5" s="127" t="s">
        <v>0</v>
      </c>
      <c r="D5" s="180">
        <f>Driver_MountingW</f>
        <v>27.9</v>
      </c>
      <c r="E5" s="65" t="s">
        <v>22</v>
      </c>
      <c r="F5" s="71">
        <f>D5/2.54</f>
        <v>10.984251968503937</v>
      </c>
      <c r="G5" s="65" t="s">
        <v>40</v>
      </c>
      <c r="H5" s="271" t="s">
        <v>5</v>
      </c>
      <c r="I5" s="347" t="s">
        <v>193</v>
      </c>
      <c r="J5" s="348"/>
      <c r="K5" s="349"/>
    </row>
    <row r="6" spans="2:11" ht="13.5" thickBot="1">
      <c r="B6" s="66" t="s">
        <v>28</v>
      </c>
      <c r="C6" s="127" t="s">
        <v>0</v>
      </c>
      <c r="D6" s="133">
        <f>Driver_RearMountingD</f>
        <v>12.7</v>
      </c>
      <c r="E6" s="65" t="s">
        <v>22</v>
      </c>
      <c r="F6" s="67">
        <f>D6/2.54</f>
        <v>5</v>
      </c>
      <c r="G6" s="65" t="s">
        <v>40</v>
      </c>
      <c r="H6" s="272" t="s">
        <v>5</v>
      </c>
      <c r="I6" s="270" t="s">
        <v>194</v>
      </c>
      <c r="J6" s="86"/>
      <c r="K6" s="73"/>
    </row>
    <row r="7" spans="2:11" ht="13.5" thickBot="1">
      <c r="B7" s="66" t="s">
        <v>24</v>
      </c>
      <c r="C7" s="127" t="s">
        <v>0</v>
      </c>
      <c r="D7" s="180">
        <f>Driver_MagnetW</f>
        <v>19</v>
      </c>
      <c r="E7" s="65" t="s">
        <v>22</v>
      </c>
      <c r="F7" s="67">
        <f>D7/2.54</f>
        <v>7.480314960629921</v>
      </c>
      <c r="G7" s="65" t="s">
        <v>40</v>
      </c>
      <c r="H7" s="272" t="s">
        <v>5</v>
      </c>
      <c r="I7" s="270" t="s">
        <v>195</v>
      </c>
      <c r="J7" s="86"/>
      <c r="K7" s="73"/>
    </row>
    <row r="8" spans="2:11" ht="13.5" thickBot="1">
      <c r="B8" s="74" t="s">
        <v>25</v>
      </c>
      <c r="C8" s="128" t="s">
        <v>0</v>
      </c>
      <c r="D8" s="181">
        <f>Driver_MagnetH</f>
        <v>5.08</v>
      </c>
      <c r="E8" s="65" t="s">
        <v>22</v>
      </c>
      <c r="F8" s="75">
        <f>D8/2.54</f>
        <v>2</v>
      </c>
      <c r="G8" s="65" t="s">
        <v>40</v>
      </c>
      <c r="H8" s="272" t="s">
        <v>5</v>
      </c>
      <c r="I8" s="72" t="s">
        <v>74</v>
      </c>
      <c r="J8" s="86"/>
      <c r="K8" s="73"/>
    </row>
    <row r="9" spans="8:11" ht="12.75">
      <c r="H9" s="272" t="s">
        <v>5</v>
      </c>
      <c r="I9" s="72" t="s">
        <v>75</v>
      </c>
      <c r="J9" s="86"/>
      <c r="K9" s="73"/>
    </row>
    <row r="10" spans="2:11" ht="13.5" thickBot="1">
      <c r="B10" s="63" t="s">
        <v>45</v>
      </c>
      <c r="H10" s="272" t="s">
        <v>5</v>
      </c>
      <c r="I10" s="270" t="s">
        <v>167</v>
      </c>
      <c r="J10" s="86"/>
      <c r="K10" s="73"/>
    </row>
    <row r="11" spans="2:11" ht="13.5" thickBot="1">
      <c r="B11" s="132" t="s">
        <v>47</v>
      </c>
      <c r="C11" s="127" t="s">
        <v>0</v>
      </c>
      <c r="D11" s="141">
        <v>72</v>
      </c>
      <c r="E11" s="65" t="s">
        <v>22</v>
      </c>
      <c r="F11" s="77">
        <f>D11/2.54</f>
        <v>28.346456692913385</v>
      </c>
      <c r="G11" s="65" t="s">
        <v>40</v>
      </c>
      <c r="H11" s="272" t="s">
        <v>5</v>
      </c>
      <c r="I11" s="72" t="s">
        <v>76</v>
      </c>
      <c r="J11" s="86"/>
      <c r="K11" s="73"/>
    </row>
    <row r="12" spans="2:11" ht="13.5" thickBot="1">
      <c r="B12" s="182" t="s">
        <v>48</v>
      </c>
      <c r="C12" s="183" t="s">
        <v>0</v>
      </c>
      <c r="D12" s="121">
        <v>38</v>
      </c>
      <c r="E12" s="65" t="s">
        <v>22</v>
      </c>
      <c r="F12" s="77">
        <f>D12/2.54</f>
        <v>14.960629921259843</v>
      </c>
      <c r="G12" s="65" t="s">
        <v>40</v>
      </c>
      <c r="H12" s="272" t="s">
        <v>5</v>
      </c>
      <c r="I12" s="72" t="s">
        <v>77</v>
      </c>
      <c r="J12" s="86"/>
      <c r="K12" s="73"/>
    </row>
    <row r="13" spans="2:11" ht="13.5" thickBot="1">
      <c r="B13" s="132" t="s">
        <v>49</v>
      </c>
      <c r="C13" s="184" t="s">
        <v>0</v>
      </c>
      <c r="D13" s="76">
        <v>80</v>
      </c>
      <c r="E13" s="78" t="s">
        <v>22</v>
      </c>
      <c r="F13" s="79">
        <f>D13/2.54</f>
        <v>31.496062992125985</v>
      </c>
      <c r="G13" s="65" t="s">
        <v>40</v>
      </c>
      <c r="H13" s="273" t="s">
        <v>5</v>
      </c>
      <c r="I13" s="274" t="s">
        <v>163</v>
      </c>
      <c r="J13" s="80"/>
      <c r="K13" s="81"/>
    </row>
    <row r="14" spans="2:7" ht="12" thickBot="1">
      <c r="B14" s="132" t="s">
        <v>78</v>
      </c>
      <c r="C14" s="127" t="s">
        <v>0</v>
      </c>
      <c r="D14" s="76">
        <v>3</v>
      </c>
      <c r="E14" s="65" t="s">
        <v>22</v>
      </c>
      <c r="F14" s="77">
        <f>D14/2.54</f>
        <v>1.1811023622047243</v>
      </c>
      <c r="G14" s="65" t="s">
        <v>40</v>
      </c>
    </row>
    <row r="15" spans="2:11" ht="12" thickBot="1">
      <c r="B15" s="322" t="s">
        <v>174</v>
      </c>
      <c r="C15" s="321" t="s">
        <v>0</v>
      </c>
      <c r="D15" s="186">
        <v>1.3</v>
      </c>
      <c r="F15" s="77">
        <f>D21/2.54</f>
        <v>13.46456692913386</v>
      </c>
      <c r="G15" s="65" t="s">
        <v>40</v>
      </c>
      <c r="H15" s="68"/>
      <c r="I15" s="69" t="s">
        <v>26</v>
      </c>
      <c r="J15" s="69"/>
      <c r="K15" s="70"/>
    </row>
    <row r="16" spans="2:11" ht="13.5" thickBot="1">
      <c r="B16" s="322" t="s">
        <v>179</v>
      </c>
      <c r="C16" s="321" t="s">
        <v>0</v>
      </c>
      <c r="D16" s="327">
        <v>3</v>
      </c>
      <c r="E16" s="328">
        <v>1</v>
      </c>
      <c r="H16" s="191" t="s">
        <v>5</v>
      </c>
      <c r="I16" s="82" t="s">
        <v>20</v>
      </c>
      <c r="J16" s="83"/>
      <c r="K16" s="84"/>
    </row>
    <row r="17" spans="5:11" ht="12.75">
      <c r="E17" s="328">
        <v>2</v>
      </c>
      <c r="H17" s="120" t="s">
        <v>5</v>
      </c>
      <c r="I17" s="85" t="s">
        <v>44</v>
      </c>
      <c r="J17" s="86"/>
      <c r="K17" s="73"/>
    </row>
    <row r="18" spans="5:11" ht="13.5" thickBot="1">
      <c r="E18" s="329">
        <v>3</v>
      </c>
      <c r="H18" s="120" t="s">
        <v>5</v>
      </c>
      <c r="I18" s="85" t="s">
        <v>21</v>
      </c>
      <c r="J18" s="86"/>
      <c r="K18" s="73"/>
    </row>
    <row r="19" spans="2:11" ht="13.5" thickBot="1">
      <c r="B19" s="322" t="s">
        <v>145</v>
      </c>
      <c r="C19" s="323" t="s">
        <v>0</v>
      </c>
      <c r="D19" s="325">
        <f>sim_S5</f>
        <v>743.4125581395351</v>
      </c>
      <c r="E19" s="131" t="s">
        <v>18</v>
      </c>
      <c r="F19" s="131"/>
      <c r="H19" s="126" t="s">
        <v>41</v>
      </c>
      <c r="I19" s="87" t="s">
        <v>43</v>
      </c>
      <c r="J19" s="80"/>
      <c r="K19" s="81"/>
    </row>
    <row r="20" spans="2:5" ht="12" thickBot="1">
      <c r="B20" s="322" t="s">
        <v>171</v>
      </c>
      <c r="C20" s="323" t="s">
        <v>0</v>
      </c>
      <c r="D20" s="324">
        <f>netV/D73</f>
        <v>1.0295249550907786</v>
      </c>
      <c r="E20" s="131"/>
    </row>
    <row r="21" spans="2:5" ht="12" thickBot="1">
      <c r="B21" s="132" t="s">
        <v>142</v>
      </c>
      <c r="C21" s="127" t="s">
        <v>0</v>
      </c>
      <c r="D21" s="185">
        <f>W-(D38*2)</f>
        <v>34.2</v>
      </c>
      <c r="E21" s="65" t="s">
        <v>22</v>
      </c>
    </row>
    <row r="22" ht="12" thickBot="1"/>
    <row r="23" spans="2:5" ht="12" thickBot="1">
      <c r="B23" s="318" t="s">
        <v>136</v>
      </c>
      <c r="C23" s="317" t="s">
        <v>0</v>
      </c>
      <c r="D23" s="186">
        <v>2.83</v>
      </c>
      <c r="E23" s="131" t="s">
        <v>137</v>
      </c>
    </row>
    <row r="24" spans="2:5" ht="12" thickBot="1">
      <c r="B24" s="318" t="s">
        <v>138</v>
      </c>
      <c r="C24" s="317" t="s">
        <v>0</v>
      </c>
      <c r="D24" s="186">
        <v>0.1</v>
      </c>
      <c r="E24" s="131" t="s">
        <v>86</v>
      </c>
    </row>
    <row r="25" spans="2:5" ht="12" thickBot="1">
      <c r="B25" s="318" t="s">
        <v>139</v>
      </c>
      <c r="C25" s="317" t="s">
        <v>0</v>
      </c>
      <c r="D25" s="319">
        <f>sim_Eg^2/D26</f>
        <v>2.0588431876606683</v>
      </c>
      <c r="E25" s="131" t="s">
        <v>140</v>
      </c>
    </row>
    <row r="26" spans="2:5" ht="12" thickBot="1">
      <c r="B26" s="318" t="s">
        <v>157</v>
      </c>
      <c r="C26" s="317" t="s">
        <v>0</v>
      </c>
      <c r="D26" s="320">
        <f>IF(Design!B106=3,Driver_Re/2,Driver_Re*Design!B106)</f>
        <v>3.89</v>
      </c>
      <c r="E26" s="131" t="s">
        <v>86</v>
      </c>
    </row>
    <row r="27" spans="2:5" ht="12" thickBot="1">
      <c r="B27" s="318" t="s">
        <v>158</v>
      </c>
      <c r="C27" s="317" t="s">
        <v>0</v>
      </c>
      <c r="D27" s="259">
        <f>IF(numDrivers="1",1,2)</f>
        <v>1</v>
      </c>
      <c r="E27" s="131"/>
    </row>
    <row r="28" spans="2:7" ht="12" thickBot="1">
      <c r="B28" s="131"/>
      <c r="C28" s="131"/>
      <c r="D28" s="131"/>
      <c r="E28" s="131"/>
      <c r="G28" s="124"/>
    </row>
    <row r="29" spans="2:11" ht="13.5" thickBot="1">
      <c r="B29" s="131"/>
      <c r="C29" s="131"/>
      <c r="D29" s="131"/>
      <c r="E29" s="131"/>
      <c r="H29" s="336" t="s">
        <v>5</v>
      </c>
      <c r="I29" s="339" t="s">
        <v>196</v>
      </c>
      <c r="J29" s="337"/>
      <c r="K29" s="338"/>
    </row>
    <row r="30" ht="12" thickBot="1">
      <c r="B30" s="2" t="s">
        <v>143</v>
      </c>
    </row>
    <row r="31" spans="2:11" ht="11.25">
      <c r="B31" s="89" t="s">
        <v>16</v>
      </c>
      <c r="C31" s="90" t="s">
        <v>0</v>
      </c>
      <c r="D31" s="253">
        <f>D32-I47</f>
        <v>172.6862392507685</v>
      </c>
      <c r="E31" s="91" t="s">
        <v>15</v>
      </c>
      <c r="F31" s="92">
        <f>(D31*1000/2.54^3)/1728</f>
        <v>6.098356986528131</v>
      </c>
      <c r="G31" s="91" t="s">
        <v>2</v>
      </c>
      <c r="H31" s="91"/>
      <c r="I31" s="91"/>
      <c r="J31" s="91"/>
      <c r="K31" s="93"/>
    </row>
    <row r="32" spans="2:11" ht="11.25">
      <c r="B32" s="94" t="s">
        <v>17</v>
      </c>
      <c r="C32" s="95" t="s">
        <v>0</v>
      </c>
      <c r="D32" s="254">
        <f>(D11*D12*D13)/10^3</f>
        <v>218.88</v>
      </c>
      <c r="E32" s="96" t="s">
        <v>15</v>
      </c>
      <c r="F32" s="97">
        <f>(D32*1000/2.54^3)/1728</f>
        <v>7.729674251999423</v>
      </c>
      <c r="G32" s="96" t="s">
        <v>2</v>
      </c>
      <c r="H32" s="96"/>
      <c r="I32" s="96"/>
      <c r="J32" s="96"/>
      <c r="K32" s="98"/>
    </row>
    <row r="33" spans="2:11" ht="11.25">
      <c r="B33" s="99"/>
      <c r="C33" s="96"/>
      <c r="D33" s="96"/>
      <c r="E33" s="96"/>
      <c r="F33" s="96"/>
      <c r="G33" s="96"/>
      <c r="H33" s="96"/>
      <c r="I33" s="96"/>
      <c r="J33" s="96"/>
      <c r="K33" s="98"/>
    </row>
    <row r="34" spans="2:11" ht="11.25">
      <c r="B34" s="94" t="s">
        <v>10</v>
      </c>
      <c r="C34" s="95"/>
      <c r="D34" s="100" t="s">
        <v>9</v>
      </c>
      <c r="E34" s="100" t="s">
        <v>5</v>
      </c>
      <c r="F34" s="100" t="s">
        <v>6</v>
      </c>
      <c r="G34" s="100"/>
      <c r="H34" s="100" t="s">
        <v>11</v>
      </c>
      <c r="I34" s="100" t="s">
        <v>29</v>
      </c>
      <c r="J34" s="95"/>
      <c r="K34" s="101"/>
    </row>
    <row r="35" spans="2:11" ht="11.25">
      <c r="B35" s="99" t="str">
        <f aca="true" t="shared" si="0" ref="B35:B43">I5</f>
        <v>Panel A (front)</v>
      </c>
      <c r="C35" s="96" t="str">
        <f aca="true" t="shared" si="1" ref="C35:C43">H5</f>
        <v>x</v>
      </c>
      <c r="D35" s="102">
        <v>1.9</v>
      </c>
      <c r="E35" s="103">
        <f>D12-2*D38</f>
        <v>34.2</v>
      </c>
      <c r="F35" s="103">
        <f>Panels!K43</f>
        <v>48.36279069767441</v>
      </c>
      <c r="G35" s="104"/>
      <c r="H35" s="104">
        <v>1</v>
      </c>
      <c r="I35" s="105">
        <f>F35*E35*D35*H35/10^3</f>
        <v>3.142614139534883</v>
      </c>
      <c r="J35" s="96"/>
      <c r="K35" s="98"/>
    </row>
    <row r="36" spans="2:11" ht="11.25">
      <c r="B36" s="99" t="str">
        <f t="shared" si="0"/>
        <v>Panel B (back)</v>
      </c>
      <c r="C36" s="96" t="str">
        <f t="shared" si="1"/>
        <v>x</v>
      </c>
      <c r="D36" s="102">
        <v>1.9</v>
      </c>
      <c r="E36" s="103">
        <f>D12-2*D38</f>
        <v>34.2</v>
      </c>
      <c r="F36" s="103">
        <f>Panels!K49</f>
        <v>72</v>
      </c>
      <c r="G36" s="104"/>
      <c r="H36" s="104">
        <v>1</v>
      </c>
      <c r="I36" s="105">
        <f>F36*E36*D36*H36/10^3</f>
        <v>4.67856</v>
      </c>
      <c r="J36" s="96"/>
      <c r="K36" s="98"/>
    </row>
    <row r="37" spans="2:11" ht="11.25">
      <c r="B37" s="99" t="str">
        <f t="shared" si="0"/>
        <v>Panel C (top)</v>
      </c>
      <c r="C37" s="96" t="str">
        <f t="shared" si="1"/>
        <v>x</v>
      </c>
      <c r="D37" s="102">
        <v>1.9</v>
      </c>
      <c r="E37" s="103">
        <f>E40</f>
        <v>34.2</v>
      </c>
      <c r="F37" s="103">
        <f>Panels!K67</f>
        <v>76.19999999999999</v>
      </c>
      <c r="G37" s="104"/>
      <c r="H37" s="104">
        <v>1</v>
      </c>
      <c r="I37" s="105">
        <f aca="true" t="shared" si="2" ref="I37:I42">F37*E37*D37*H37/10^3</f>
        <v>4.9514759999999995</v>
      </c>
      <c r="J37" s="96"/>
      <c r="K37" s="98"/>
    </row>
    <row r="38" spans="2:11" ht="11.25">
      <c r="B38" s="99" t="str">
        <f t="shared" si="0"/>
        <v>Panel D (sides)</v>
      </c>
      <c r="C38" s="96" t="str">
        <f t="shared" si="1"/>
        <v>x</v>
      </c>
      <c r="D38" s="102">
        <v>1.9</v>
      </c>
      <c r="E38" s="103">
        <f>Panels!K55</f>
        <v>80</v>
      </c>
      <c r="F38" s="103">
        <f>Panels!K56</f>
        <v>72</v>
      </c>
      <c r="G38" s="106"/>
      <c r="H38" s="104">
        <v>2</v>
      </c>
      <c r="I38" s="105">
        <f t="shared" si="2"/>
        <v>21.888</v>
      </c>
      <c r="J38" s="96"/>
      <c r="K38" s="98"/>
    </row>
    <row r="39" spans="2:11" ht="11.25">
      <c r="B39" s="99" t="str">
        <f t="shared" si="0"/>
        <v>Panel E (bottom)</v>
      </c>
      <c r="C39" s="96" t="str">
        <f t="shared" si="1"/>
        <v>x</v>
      </c>
      <c r="D39" s="102">
        <v>1.9</v>
      </c>
      <c r="E39" s="103">
        <f>E40</f>
        <v>34.2</v>
      </c>
      <c r="F39" s="103">
        <f>Panels!K63</f>
        <v>78.1</v>
      </c>
      <c r="G39" s="106"/>
      <c r="H39" s="104">
        <v>1</v>
      </c>
      <c r="I39" s="105">
        <f t="shared" si="2"/>
        <v>5.074938</v>
      </c>
      <c r="J39" s="96"/>
      <c r="K39" s="98"/>
    </row>
    <row r="40" spans="2:11" ht="11.25">
      <c r="B40" s="99" t="str">
        <f t="shared" si="0"/>
        <v>Panel F (driver baffle)</v>
      </c>
      <c r="C40" s="96" t="str">
        <f t="shared" si="1"/>
        <v>x</v>
      </c>
      <c r="D40" s="102">
        <v>1.9</v>
      </c>
      <c r="E40" s="103">
        <f>E35</f>
        <v>34.2</v>
      </c>
      <c r="F40" s="103">
        <f>Panels!K75</f>
        <v>51.47906976744186</v>
      </c>
      <c r="G40" s="187"/>
      <c r="H40" s="104">
        <v>1</v>
      </c>
      <c r="I40" s="105">
        <f t="shared" si="2"/>
        <v>3.345109953488372</v>
      </c>
      <c r="J40" s="96"/>
      <c r="K40" s="98"/>
    </row>
    <row r="41" spans="2:11" ht="11.25">
      <c r="B41" s="99" t="str">
        <f t="shared" si="0"/>
        <v>Panel G (2nd inside)</v>
      </c>
      <c r="C41" s="96" t="str">
        <f t="shared" si="1"/>
        <v>x</v>
      </c>
      <c r="D41" s="102">
        <v>1.2</v>
      </c>
      <c r="E41" s="103">
        <f>E40</f>
        <v>34.2</v>
      </c>
      <c r="F41" s="103">
        <f>Panels!K82</f>
        <v>34.641860465116295</v>
      </c>
      <c r="G41" s="187"/>
      <c r="H41" s="104">
        <v>1</v>
      </c>
      <c r="I41" s="105">
        <f t="shared" si="2"/>
        <v>1.4217019534883728</v>
      </c>
      <c r="J41" s="96"/>
      <c r="K41" s="98"/>
    </row>
    <row r="42" spans="2:11" ht="11.25">
      <c r="B42" s="99" t="str">
        <f t="shared" si="0"/>
        <v>Panel H (3rd inside)</v>
      </c>
      <c r="C42" s="96" t="str">
        <f t="shared" si="1"/>
        <v>x</v>
      </c>
      <c r="D42" s="102">
        <v>1.2</v>
      </c>
      <c r="E42" s="103">
        <f>E40</f>
        <v>34.2</v>
      </c>
      <c r="F42" s="103">
        <f>Panels!K86</f>
        <v>34.75813953488371</v>
      </c>
      <c r="G42" s="187"/>
      <c r="H42" s="104">
        <v>1</v>
      </c>
      <c r="I42" s="105">
        <f t="shared" si="2"/>
        <v>1.4264740465116275</v>
      </c>
      <c r="J42" s="96"/>
      <c r="K42" s="98"/>
    </row>
    <row r="43" spans="2:11" ht="11.25">
      <c r="B43" s="99" t="str">
        <f t="shared" si="0"/>
        <v>Panel I (4th inside)</v>
      </c>
      <c r="C43" s="96" t="str">
        <f t="shared" si="1"/>
        <v>x</v>
      </c>
      <c r="D43" s="102">
        <v>1.2</v>
      </c>
      <c r="E43" s="103">
        <f>E41</f>
        <v>34.2</v>
      </c>
      <c r="F43" s="103">
        <f>Panels!K88</f>
        <v>34.75813953488371</v>
      </c>
      <c r="G43" s="187"/>
      <c r="H43" s="104">
        <v>1</v>
      </c>
      <c r="I43" s="105">
        <f>F43*E43*D43*H43/10^3</f>
        <v>1.4264740465116275</v>
      </c>
      <c r="J43" s="96"/>
      <c r="K43" s="98"/>
    </row>
    <row r="44" spans="2:11" ht="11.25">
      <c r="B44" s="99"/>
      <c r="C44" s="96"/>
      <c r="D44" s="96"/>
      <c r="E44" s="103"/>
      <c r="F44" s="103"/>
      <c r="G44" s="187"/>
      <c r="H44" s="104"/>
      <c r="I44" s="105"/>
      <c r="J44" s="96"/>
      <c r="K44" s="98"/>
    </row>
    <row r="45" spans="2:11" ht="11.25">
      <c r="B45" s="315" t="s">
        <v>168</v>
      </c>
      <c r="C45" s="96"/>
      <c r="D45" s="316">
        <f>p</f>
        <v>1.9</v>
      </c>
      <c r="E45" s="103"/>
      <c r="F45" s="103"/>
      <c r="G45" s="187"/>
      <c r="H45" s="104"/>
      <c r="I45" s="105">
        <f>-PI()*(Driver_MountingW/2)^2*Driver_Count*D45/1000</f>
        <v>-1.1615873903033946</v>
      </c>
      <c r="J45" s="96"/>
      <c r="K45" s="98"/>
    </row>
    <row r="46" spans="2:11" ht="11.25">
      <c r="B46" s="315"/>
      <c r="C46" s="96"/>
      <c r="D46" s="103"/>
      <c r="E46" s="103"/>
      <c r="F46" s="103"/>
      <c r="G46" s="187"/>
      <c r="H46" s="104"/>
      <c r="I46" s="105"/>
      <c r="J46" s="96"/>
      <c r="K46" s="98"/>
    </row>
    <row r="47" spans="2:11" ht="12" thickBot="1">
      <c r="B47" s="107"/>
      <c r="C47" s="108"/>
      <c r="D47" s="109"/>
      <c r="E47" s="110"/>
      <c r="F47" s="108"/>
      <c r="G47" s="108"/>
      <c r="H47" s="110" t="s">
        <v>36</v>
      </c>
      <c r="I47" s="111">
        <f>SUM(I35:I46)</f>
        <v>46.193760749231494</v>
      </c>
      <c r="J47" s="110" t="s">
        <v>19</v>
      </c>
      <c r="K47" s="112"/>
    </row>
    <row r="48" ht="12" thickBot="1"/>
    <row r="49" spans="2:11" ht="13.5" thickBot="1">
      <c r="B49" s="189" t="s">
        <v>141</v>
      </c>
      <c r="C49" s="190" t="s">
        <v>0</v>
      </c>
      <c r="D49" s="350" t="s">
        <v>52</v>
      </c>
      <c r="E49" s="351"/>
      <c r="F49" s="351"/>
      <c r="G49" s="351"/>
      <c r="H49" s="351"/>
      <c r="I49" s="351"/>
      <c r="J49" s="351"/>
      <c r="K49" s="352"/>
    </row>
    <row r="50" spans="2:11" ht="13.5" thickBot="1">
      <c r="B50" s="189" t="s">
        <v>72</v>
      </c>
      <c r="C50" s="190" t="s">
        <v>0</v>
      </c>
      <c r="D50" s="353" t="str">
        <f ca="1">CONCATENATE(B1," ",D1," - ",TEXT(NOW(),"yyyy-mm-dd hh:mm:ss"))</f>
        <v>BOXPLAN-PARAA 0.8 BETA - 2022-05-22 21:28:55</v>
      </c>
      <c r="E50" s="351"/>
      <c r="F50" s="351"/>
      <c r="G50" s="351"/>
      <c r="H50" s="351"/>
      <c r="I50" s="351"/>
      <c r="J50" s="351"/>
      <c r="K50" s="352"/>
    </row>
    <row r="52" spans="2:8" ht="12" thickBot="1">
      <c r="B52" s="2" t="s">
        <v>144</v>
      </c>
      <c r="G52" s="2" t="s">
        <v>188</v>
      </c>
      <c r="H52" s="124"/>
    </row>
    <row r="53" spans="2:8" ht="12" thickBot="1">
      <c r="B53" s="125" t="s">
        <v>13</v>
      </c>
      <c r="C53" s="129" t="s">
        <v>0</v>
      </c>
      <c r="D53" s="188">
        <f>_S1_</f>
        <v>571.8558139534886</v>
      </c>
      <c r="E53" s="124" t="s">
        <v>18</v>
      </c>
      <c r="G53" s="333">
        <f>sim_S2*sim_L12/1000</f>
        <v>10.808074883720934</v>
      </c>
      <c r="H53" s="124" t="s">
        <v>19</v>
      </c>
    </row>
    <row r="54" spans="2:8" ht="12" thickBot="1">
      <c r="B54" s="125" t="s">
        <v>32</v>
      </c>
      <c r="C54" s="129" t="s">
        <v>0</v>
      </c>
      <c r="D54" s="88">
        <f>_S2_</f>
        <v>571.8558139534886</v>
      </c>
      <c r="E54" s="124" t="s">
        <v>18</v>
      </c>
      <c r="G54" s="333"/>
      <c r="H54" s="124"/>
    </row>
    <row r="55" spans="2:8" ht="12" thickBot="1">
      <c r="B55" s="125" t="s">
        <v>152</v>
      </c>
      <c r="C55" s="129" t="s">
        <v>0</v>
      </c>
      <c r="D55" s="88">
        <f>_S2_</f>
        <v>571.8558139534886</v>
      </c>
      <c r="E55" s="124" t="s">
        <v>18</v>
      </c>
      <c r="G55" s="333"/>
      <c r="H55" s="124"/>
    </row>
    <row r="56" spans="2:8" ht="12" thickBot="1">
      <c r="B56" s="125" t="s">
        <v>38</v>
      </c>
      <c r="C56" s="129" t="s">
        <v>0</v>
      </c>
      <c r="D56" s="88">
        <f>_S3_</f>
        <v>571.8558139534886</v>
      </c>
      <c r="E56" s="65" t="s">
        <v>18</v>
      </c>
      <c r="G56" s="333">
        <f>sim_S3*sim_L23/1000</f>
        <v>101.65102068935516</v>
      </c>
      <c r="H56" s="124" t="s">
        <v>19</v>
      </c>
    </row>
    <row r="57" spans="2:8" ht="12" thickBot="1">
      <c r="B57" s="125" t="s">
        <v>154</v>
      </c>
      <c r="C57" s="129" t="s">
        <v>0</v>
      </c>
      <c r="D57" s="88">
        <f>_S3S_</f>
        <v>743.4125581395351</v>
      </c>
      <c r="E57" s="65" t="s">
        <v>18</v>
      </c>
      <c r="G57" s="333"/>
      <c r="H57" s="124"/>
    </row>
    <row r="58" spans="2:8" ht="12" thickBot="1">
      <c r="B58" s="125" t="s">
        <v>14</v>
      </c>
      <c r="C58" s="129" t="s">
        <v>0</v>
      </c>
      <c r="D58" s="88">
        <f>_S4_</f>
        <v>743.4125581395351</v>
      </c>
      <c r="E58" s="65" t="s">
        <v>18</v>
      </c>
      <c r="G58" s="333"/>
      <c r="H58" s="124"/>
    </row>
    <row r="59" spans="2:8" ht="12" thickBot="1">
      <c r="B59" s="125" t="s">
        <v>165</v>
      </c>
      <c r="C59" s="129" t="s">
        <v>0</v>
      </c>
      <c r="D59" s="88">
        <f>_S4S_</f>
        <v>743.4125581395351</v>
      </c>
      <c r="E59" s="65" t="s">
        <v>18</v>
      </c>
      <c r="G59" s="333">
        <f>IF(Alt_Config=1,sim_S4*sim_L34/1000,sim_S4S*sim_L34/1000)</f>
        <v>8.079857187128185</v>
      </c>
      <c r="H59" s="124" t="s">
        <v>19</v>
      </c>
    </row>
    <row r="60" spans="2:8" ht="12" thickBot="1">
      <c r="B60" s="125" t="s">
        <v>145</v>
      </c>
      <c r="C60" s="129" t="s">
        <v>0</v>
      </c>
      <c r="D60" s="88">
        <f>_S5_</f>
        <v>743.4125581395351</v>
      </c>
      <c r="E60" s="65" t="s">
        <v>18</v>
      </c>
      <c r="G60" s="333">
        <f>sim_S5*sim_L45/1000</f>
        <v>9.492341047593307</v>
      </c>
      <c r="H60" s="124" t="s">
        <v>19</v>
      </c>
    </row>
    <row r="61" spans="2:8" ht="12" thickBot="1">
      <c r="B61" s="125" t="s">
        <v>146</v>
      </c>
      <c r="C61" s="129" t="s">
        <v>0</v>
      </c>
      <c r="D61" s="188">
        <f>_L12_</f>
        <v>18.9</v>
      </c>
      <c r="E61" s="124" t="s">
        <v>22</v>
      </c>
      <c r="G61" s="333"/>
      <c r="H61" s="124"/>
    </row>
    <row r="62" spans="2:8" ht="12" thickBot="1">
      <c r="B62" s="125" t="s">
        <v>147</v>
      </c>
      <c r="C62" s="129" t="s">
        <v>0</v>
      </c>
      <c r="D62" s="188">
        <f>_L23_</f>
        <v>177.75638230657714</v>
      </c>
      <c r="E62" s="124" t="s">
        <v>22</v>
      </c>
      <c r="G62" s="333"/>
      <c r="H62" s="124"/>
    </row>
    <row r="63" spans="2:8" ht="12" thickBot="1">
      <c r="B63" s="125" t="s">
        <v>39</v>
      </c>
      <c r="C63" s="129" t="s">
        <v>0</v>
      </c>
      <c r="D63" s="188">
        <f>_L34_</f>
        <v>10.868604651162798</v>
      </c>
      <c r="E63" s="65" t="s">
        <v>22</v>
      </c>
      <c r="G63" s="333"/>
      <c r="H63" s="124"/>
    </row>
    <row r="64" spans="2:8" ht="12" thickBot="1">
      <c r="B64" s="125" t="s">
        <v>73</v>
      </c>
      <c r="C64" s="129" t="s">
        <v>0</v>
      </c>
      <c r="D64" s="258">
        <f>_L45_</f>
        <v>12.768604651162804</v>
      </c>
      <c r="E64" s="65" t="s">
        <v>18</v>
      </c>
      <c r="G64" s="333"/>
      <c r="H64" s="124"/>
    </row>
    <row r="65" spans="2:8" ht="12" thickBot="1">
      <c r="B65" s="125" t="s">
        <v>68</v>
      </c>
      <c r="C65" s="189" t="s">
        <v>0</v>
      </c>
      <c r="D65" s="188">
        <f>Driver_Conevol*Driver_Count*1000-I45*1000</f>
        <v>3161.5873903033944</v>
      </c>
      <c r="E65" s="124" t="s">
        <v>51</v>
      </c>
      <c r="G65" s="333">
        <f>sim_Vtc/1000</f>
        <v>3.1615873903033944</v>
      </c>
      <c r="H65" s="124" t="s">
        <v>19</v>
      </c>
    </row>
    <row r="66" spans="2:8" ht="12" thickBot="1">
      <c r="B66" s="125" t="s">
        <v>69</v>
      </c>
      <c r="C66" s="189" t="s">
        <v>0</v>
      </c>
      <c r="D66" s="258">
        <f>Driver_Sd*Driver_Count</f>
        <v>545.4</v>
      </c>
      <c r="E66" s="124" t="s">
        <v>18</v>
      </c>
      <c r="G66" s="333"/>
      <c r="H66" s="124"/>
    </row>
    <row r="67" spans="2:8" ht="12" thickBot="1">
      <c r="B67" s="125" t="s">
        <v>66</v>
      </c>
      <c r="C67" s="189" t="s">
        <v>0</v>
      </c>
      <c r="D67" s="258">
        <f>_Vrc_</f>
        <v>33.12853823039482</v>
      </c>
      <c r="E67" s="124" t="s">
        <v>18</v>
      </c>
      <c r="G67" s="333">
        <f>sim_Vrc</f>
        <v>33.12853823039482</v>
      </c>
      <c r="H67" s="334" t="s">
        <v>19</v>
      </c>
    </row>
    <row r="68" spans="2:8" ht="12" thickBot="1">
      <c r="B68" s="125" t="s">
        <v>67</v>
      </c>
      <c r="C68" s="189" t="s">
        <v>0</v>
      </c>
      <c r="D68" s="258">
        <f>Path!M4</f>
        <v>44.562790697674416</v>
      </c>
      <c r="E68" s="124" t="s">
        <v>22</v>
      </c>
      <c r="G68" s="333"/>
      <c r="H68" s="124"/>
    </row>
    <row r="69" spans="2:8" ht="12" thickBot="1">
      <c r="B69" s="125" t="s">
        <v>172</v>
      </c>
      <c r="C69" s="189" t="s">
        <v>0</v>
      </c>
      <c r="D69" s="258">
        <f>_Ap_</f>
        <v>743.4125581395351</v>
      </c>
      <c r="E69" s="124" t="s">
        <v>18</v>
      </c>
      <c r="G69" s="333">
        <f>sim_Ap1*sim_Lp/1000</f>
        <v>1.4124838604651169</v>
      </c>
      <c r="H69" s="124" t="s">
        <v>19</v>
      </c>
    </row>
    <row r="70" spans="2:8" ht="12" thickBot="1">
      <c r="B70" s="125" t="s">
        <v>173</v>
      </c>
      <c r="C70" s="189" t="s">
        <v>0</v>
      </c>
      <c r="D70" s="258">
        <f>p</f>
        <v>1.9</v>
      </c>
      <c r="E70" s="124" t="s">
        <v>22</v>
      </c>
      <c r="G70" s="333"/>
      <c r="H70" s="124"/>
    </row>
    <row r="71" ht="12" thickBot="1"/>
    <row r="72" spans="2:5" ht="12" thickBot="1">
      <c r="B72" s="125" t="s">
        <v>170</v>
      </c>
      <c r="C72" s="189" t="s">
        <v>0</v>
      </c>
      <c r="D72" s="258">
        <f>sim_L12+sim_L23+sim_L34+sim_L45</f>
        <v>220.29359160890274</v>
      </c>
      <c r="E72" s="124" t="s">
        <v>22</v>
      </c>
    </row>
    <row r="73" spans="2:8" ht="12" thickBot="1">
      <c r="B73" s="125" t="s">
        <v>169</v>
      </c>
      <c r="C73" s="189" t="s">
        <v>0</v>
      </c>
      <c r="D73" s="258">
        <f>G73</f>
        <v>167.73390328896093</v>
      </c>
      <c r="E73" s="124" t="s">
        <v>19</v>
      </c>
      <c r="G73" s="333">
        <f>SUM(G53:G70)</f>
        <v>167.73390328896093</v>
      </c>
      <c r="H73" s="124" t="s">
        <v>19</v>
      </c>
    </row>
    <row r="74" spans="2:5" ht="12" thickBot="1">
      <c r="B74" s="125" t="s">
        <v>189</v>
      </c>
      <c r="C74" s="189" t="s">
        <v>0</v>
      </c>
      <c r="D74" s="335">
        <f>netV/D73</f>
        <v>1.0295249550907786</v>
      </c>
      <c r="E74" s="124"/>
    </row>
    <row r="75" spans="2:5" ht="12" thickBot="1">
      <c r="B75" s="125" t="s">
        <v>175</v>
      </c>
      <c r="C75" s="189" t="s">
        <v>0</v>
      </c>
      <c r="D75" s="258">
        <f>sim_Ap1/sim_S1</f>
        <v>1.3</v>
      </c>
      <c r="E75" s="124"/>
    </row>
    <row r="77" spans="2:7" ht="12" thickBot="1">
      <c r="B77" s="2" t="s">
        <v>181</v>
      </c>
      <c r="G77" s="2" t="s">
        <v>188</v>
      </c>
    </row>
    <row r="78" spans="2:8" ht="12" thickBot="1">
      <c r="B78" s="125" t="s">
        <v>13</v>
      </c>
      <c r="C78" s="129" t="s">
        <v>0</v>
      </c>
      <c r="D78" s="188">
        <f>_S1_</f>
        <v>571.8558139534886</v>
      </c>
      <c r="E78" s="124" t="s">
        <v>18</v>
      </c>
      <c r="G78" s="333">
        <f>sim_S2*sim_L12/1000</f>
        <v>10.808074883720934</v>
      </c>
      <c r="H78" s="124" t="s">
        <v>19</v>
      </c>
    </row>
    <row r="79" spans="2:7" ht="12" thickBot="1">
      <c r="B79" s="125" t="s">
        <v>32</v>
      </c>
      <c r="C79" s="129" t="s">
        <v>0</v>
      </c>
      <c r="D79" s="88">
        <f>_S2_</f>
        <v>571.8558139534886</v>
      </c>
      <c r="E79" s="124" t="s">
        <v>18</v>
      </c>
      <c r="G79" s="333"/>
    </row>
    <row r="80" spans="2:7" ht="12" thickBot="1">
      <c r="B80" s="125" t="s">
        <v>152</v>
      </c>
      <c r="C80" s="129" t="s">
        <v>0</v>
      </c>
      <c r="D80" s="88">
        <f>_S2_</f>
        <v>571.8558139534886</v>
      </c>
      <c r="E80" s="124" t="s">
        <v>18</v>
      </c>
      <c r="G80" s="333"/>
    </row>
    <row r="81" spans="2:8" ht="12" thickBot="1">
      <c r="B81" s="125" t="s">
        <v>38</v>
      </c>
      <c r="C81" s="129" t="s">
        <v>0</v>
      </c>
      <c r="D81" s="88">
        <f>_S3_</f>
        <v>571.8558139534886</v>
      </c>
      <c r="E81" s="65" t="s">
        <v>18</v>
      </c>
      <c r="G81" s="333">
        <f>sim_S2*sim_L23/1000</f>
        <v>101.65102068935516</v>
      </c>
      <c r="H81" s="124" t="s">
        <v>19</v>
      </c>
    </row>
    <row r="82" spans="2:7" ht="12" thickBot="1">
      <c r="B82" s="125" t="s">
        <v>154</v>
      </c>
      <c r="C82" s="129" t="s">
        <v>0</v>
      </c>
      <c r="D82" s="88">
        <f>_S3S_</f>
        <v>743.4125581395351</v>
      </c>
      <c r="E82" s="65" t="s">
        <v>18</v>
      </c>
      <c r="G82" s="333"/>
    </row>
    <row r="83" spans="2:7" ht="12" thickBot="1">
      <c r="B83" s="125" t="s">
        <v>14</v>
      </c>
      <c r="C83" s="129" t="s">
        <v>0</v>
      </c>
      <c r="D83" s="88">
        <f>_S4_</f>
        <v>743.4125581395351</v>
      </c>
      <c r="E83" s="65" t="s">
        <v>18</v>
      </c>
      <c r="G83" s="333"/>
    </row>
    <row r="84" spans="2:8" ht="12" thickBot="1">
      <c r="B84" s="125" t="s">
        <v>165</v>
      </c>
      <c r="C84" s="129" t="s">
        <v>0</v>
      </c>
      <c r="D84" s="88">
        <f>_S4S_</f>
        <v>743.4125581395351</v>
      </c>
      <c r="E84" s="65" t="s">
        <v>18</v>
      </c>
      <c r="G84" s="333">
        <f>sim_S3S*sim_L34/1000</f>
        <v>8.079857187128185</v>
      </c>
      <c r="H84" s="124" t="s">
        <v>19</v>
      </c>
    </row>
    <row r="85" spans="2:8" ht="12" thickBot="1">
      <c r="B85" s="125" t="s">
        <v>145</v>
      </c>
      <c r="C85" s="129" t="s">
        <v>0</v>
      </c>
      <c r="D85" s="88">
        <f>_S5_</f>
        <v>743.4125581395351</v>
      </c>
      <c r="E85" s="65" t="s">
        <v>18</v>
      </c>
      <c r="G85" s="333">
        <f>sim_S5*sim_L45/1000</f>
        <v>9.492341047593307</v>
      </c>
      <c r="H85" s="124" t="s">
        <v>19</v>
      </c>
    </row>
    <row r="86" spans="2:7" ht="12" thickBot="1">
      <c r="B86" s="125" t="s">
        <v>146</v>
      </c>
      <c r="C86" s="129" t="s">
        <v>0</v>
      </c>
      <c r="D86" s="188">
        <f>_L12_</f>
        <v>18.9</v>
      </c>
      <c r="E86" s="124" t="s">
        <v>22</v>
      </c>
      <c r="G86" s="333"/>
    </row>
    <row r="87" spans="2:7" ht="12" thickBot="1">
      <c r="B87" s="125" t="s">
        <v>147</v>
      </c>
      <c r="C87" s="129" t="s">
        <v>0</v>
      </c>
      <c r="D87" s="188">
        <f>_L23_</f>
        <v>177.75638230657714</v>
      </c>
      <c r="E87" s="124" t="s">
        <v>22</v>
      </c>
      <c r="G87" s="333"/>
    </row>
    <row r="88" spans="2:7" ht="12" thickBot="1">
      <c r="B88" s="125" t="s">
        <v>39</v>
      </c>
      <c r="C88" s="129" t="s">
        <v>0</v>
      </c>
      <c r="D88" s="188">
        <f>_L34_</f>
        <v>10.868604651162798</v>
      </c>
      <c r="E88" s="65" t="s">
        <v>22</v>
      </c>
      <c r="G88" s="333"/>
    </row>
    <row r="89" spans="2:7" ht="12" thickBot="1">
      <c r="B89" s="125" t="s">
        <v>73</v>
      </c>
      <c r="C89" s="129" t="s">
        <v>0</v>
      </c>
      <c r="D89" s="258">
        <f>_L45_</f>
        <v>12.768604651162804</v>
      </c>
      <c r="E89" s="65" t="s">
        <v>18</v>
      </c>
      <c r="G89" s="333"/>
    </row>
    <row r="90" spans="2:8" ht="12" thickBot="1">
      <c r="B90" s="125" t="s">
        <v>182</v>
      </c>
      <c r="C90" s="189" t="s">
        <v>0</v>
      </c>
      <c r="D90" s="188">
        <f>_S6_</f>
        <v>743.4125581395351</v>
      </c>
      <c r="E90" s="124"/>
      <c r="G90" s="333">
        <f>sim_S6*sim_L6/1000</f>
        <v>14.050497348837213</v>
      </c>
      <c r="H90" s="124" t="s">
        <v>19</v>
      </c>
    </row>
    <row r="91" spans="2:7" ht="12" thickBot="1">
      <c r="B91" s="125" t="s">
        <v>183</v>
      </c>
      <c r="C91" s="189" t="s">
        <v>0</v>
      </c>
      <c r="D91" s="258">
        <f>Con_6</f>
        <v>18.9</v>
      </c>
      <c r="E91" s="124"/>
      <c r="G91" s="333"/>
    </row>
    <row r="92" spans="2:8" ht="12" thickBot="1">
      <c r="B92" s="125" t="s">
        <v>184</v>
      </c>
      <c r="C92" s="189" t="s">
        <v>0</v>
      </c>
      <c r="D92" s="258">
        <f>_S8_</f>
        <v>743.4125581395351</v>
      </c>
      <c r="E92" s="124"/>
      <c r="G92" s="333">
        <f>sim_S8*sim_L8/1000</f>
        <v>19.078040881557605</v>
      </c>
      <c r="H92" s="124" t="s">
        <v>19</v>
      </c>
    </row>
    <row r="93" spans="2:7" ht="12" thickBot="1">
      <c r="B93" s="125" t="s">
        <v>185</v>
      </c>
      <c r="C93" s="189" t="s">
        <v>0</v>
      </c>
      <c r="D93" s="258">
        <f>Con_8</f>
        <v>25.662790697674417</v>
      </c>
      <c r="E93" s="124"/>
      <c r="G93" s="333"/>
    </row>
    <row r="94" spans="2:8" ht="12" thickBot="1">
      <c r="B94" s="125" t="s">
        <v>186</v>
      </c>
      <c r="C94" s="189" t="s">
        <v>0</v>
      </c>
      <c r="D94" s="258">
        <f>_S9_</f>
        <v>743.4125581395351</v>
      </c>
      <c r="E94" s="124"/>
      <c r="G94" s="333">
        <f>sim_S9*sim_L9/1000</f>
        <v>1.4124838604651155</v>
      </c>
      <c r="H94" s="124" t="s">
        <v>19</v>
      </c>
    </row>
    <row r="95" spans="2:7" ht="12" thickBot="1">
      <c r="B95" s="125" t="s">
        <v>187</v>
      </c>
      <c r="C95" s="189" t="s">
        <v>0</v>
      </c>
      <c r="D95" s="258">
        <f>Con_9</f>
        <v>1.8999999999999986</v>
      </c>
      <c r="E95" s="124"/>
      <c r="G95" s="333"/>
    </row>
    <row r="97" ht="12" thickBot="1"/>
    <row r="98" spans="2:8" ht="12" thickBot="1">
      <c r="B98" s="125" t="s">
        <v>169</v>
      </c>
      <c r="C98" s="189" t="s">
        <v>0</v>
      </c>
      <c r="D98" s="258">
        <f>G98</f>
        <v>164.5723158986575</v>
      </c>
      <c r="E98" s="124" t="s">
        <v>19</v>
      </c>
      <c r="G98" s="333">
        <f>SUM(G78:G95)</f>
        <v>164.5723158986575</v>
      </c>
      <c r="H98" s="124" t="s">
        <v>19</v>
      </c>
    </row>
    <row r="99" spans="2:5" ht="12" thickBot="1">
      <c r="B99" s="125" t="s">
        <v>189</v>
      </c>
      <c r="C99" s="189" t="s">
        <v>0</v>
      </c>
      <c r="D99" s="335">
        <f>netV/D98</f>
        <v>1.0493030878723701</v>
      </c>
      <c r="E99" s="124"/>
    </row>
    <row r="102" spans="2:4" ht="11.25">
      <c r="B102" s="166"/>
      <c r="C102" s="166"/>
      <c r="D102" s="166"/>
    </row>
    <row r="103" spans="2:4" ht="12.75">
      <c r="B103" s="340" t="s">
        <v>159</v>
      </c>
      <c r="C103" s="341"/>
      <c r="D103" s="341" t="str">
        <f>IF(B106=1,B103,"")</f>
        <v>1</v>
      </c>
    </row>
    <row r="104" spans="2:4" ht="12.75">
      <c r="B104" s="341" t="s">
        <v>160</v>
      </c>
      <c r="C104" s="341"/>
      <c r="D104" s="341">
        <f>IF(B106=2,B104,"")</f>
      </c>
    </row>
    <row r="105" spans="2:4" ht="12.75">
      <c r="B105" s="341" t="s">
        <v>161</v>
      </c>
      <c r="C105" s="341"/>
      <c r="D105" s="341">
        <f>IF(B106=3,B105,"")</f>
      </c>
    </row>
    <row r="106" spans="2:4" ht="12.75">
      <c r="B106" s="342">
        <v>1</v>
      </c>
      <c r="C106" s="343"/>
      <c r="D106" s="343" t="str">
        <f>CONCATENATE(D103,D104,D105)</f>
        <v>1</v>
      </c>
    </row>
    <row r="151" spans="2:4" ht="11.25">
      <c r="B151" s="115"/>
      <c r="C151" s="116"/>
      <c r="D151" s="114"/>
    </row>
    <row r="152" spans="2:4" ht="11.25">
      <c r="B152" s="115"/>
      <c r="C152" s="116"/>
      <c r="D152" s="114"/>
    </row>
    <row r="153" spans="2:4" ht="11.25">
      <c r="B153" s="115"/>
      <c r="C153" s="116"/>
      <c r="D153" s="117"/>
    </row>
    <row r="154" spans="2:4" ht="11.25">
      <c r="B154" s="115"/>
      <c r="D154" s="117"/>
    </row>
    <row r="155" spans="4:6" ht="11.25">
      <c r="D155" s="117"/>
      <c r="F155" s="117"/>
    </row>
    <row r="156" spans="4:6" ht="11.25">
      <c r="D156" s="117"/>
      <c r="F156" s="117"/>
    </row>
    <row r="157" ht="11.25">
      <c r="F157" s="117"/>
    </row>
    <row r="159" spans="6:7" ht="11.25">
      <c r="F159" s="117"/>
      <c r="G159" s="117"/>
    </row>
    <row r="160" ht="11.25">
      <c r="F160" s="117"/>
    </row>
    <row r="161" ht="11.25">
      <c r="F161" s="117"/>
    </row>
    <row r="178" ht="11.25">
      <c r="K178" s="117"/>
    </row>
    <row r="184" ht="11.25">
      <c r="K184" s="117"/>
    </row>
    <row r="192" ht="11.25">
      <c r="K192" s="117"/>
    </row>
    <row r="209" ht="11.25">
      <c r="J209" s="117"/>
    </row>
    <row r="212" ht="11.25">
      <c r="J212" s="118"/>
    </row>
    <row r="214" spans="4:6" ht="11.25">
      <c r="D214" s="117"/>
      <c r="F214" s="118"/>
    </row>
    <row r="215" ht="11.25">
      <c r="F215" s="118"/>
    </row>
    <row r="220" spans="9:10" ht="11.25">
      <c r="I220" s="114"/>
      <c r="J220" s="114"/>
    </row>
    <row r="221" spans="9:10" ht="11.25">
      <c r="I221" s="114"/>
      <c r="J221" s="114"/>
    </row>
    <row r="222" spans="9:10" ht="11.25">
      <c r="I222" s="114"/>
      <c r="J222" s="114"/>
    </row>
    <row r="223" spans="9:10" ht="11.25">
      <c r="I223" s="114"/>
      <c r="J223" s="114"/>
    </row>
    <row r="224" spans="9:26" ht="11.25">
      <c r="I224" s="114"/>
      <c r="J224" s="114"/>
      <c r="Z224" s="117"/>
    </row>
    <row r="225" spans="9:25" ht="11.25">
      <c r="I225" s="114"/>
      <c r="J225" s="114"/>
      <c r="Y225" s="117"/>
    </row>
    <row r="226" spans="9:10" ht="11.25">
      <c r="I226" s="114"/>
      <c r="J226" s="114"/>
    </row>
    <row r="227" spans="9:10" ht="11.25">
      <c r="I227" s="114"/>
      <c r="J227" s="114"/>
    </row>
    <row r="228" spans="9:10" ht="11.25">
      <c r="I228" s="114"/>
      <c r="J228" s="114"/>
    </row>
    <row r="229" spans="9:10" ht="11.25">
      <c r="I229" s="114"/>
      <c r="J229" s="114"/>
    </row>
    <row r="335" spans="30:40" ht="11.25">
      <c r="AD335" s="117"/>
      <c r="AE335" s="117"/>
      <c r="AF335" s="117"/>
      <c r="AG335" s="117"/>
      <c r="AH335" s="117"/>
      <c r="AJ335" s="117"/>
      <c r="AK335" s="117"/>
      <c r="AM335" s="117"/>
      <c r="AN335" s="117"/>
    </row>
    <row r="336" spans="30:40" ht="11.25">
      <c r="AD336" s="117"/>
      <c r="AE336" s="117"/>
      <c r="AF336" s="117"/>
      <c r="AG336" s="117"/>
      <c r="AH336" s="117"/>
      <c r="AJ336" s="117"/>
      <c r="AK336" s="117"/>
      <c r="AM336" s="117"/>
      <c r="AN336" s="117"/>
    </row>
    <row r="337" spans="30:37" ht="11.25">
      <c r="AD337" s="117"/>
      <c r="AE337" s="117"/>
      <c r="AF337" s="117"/>
      <c r="AG337" s="117"/>
      <c r="AH337" s="117"/>
      <c r="AJ337" s="117"/>
      <c r="AK337" s="117"/>
    </row>
    <row r="338" spans="30:40" ht="11.25">
      <c r="AD338" s="117"/>
      <c r="AE338" s="117"/>
      <c r="AM338" s="117"/>
      <c r="AN338" s="117"/>
    </row>
    <row r="339" spans="30:40" ht="11.25">
      <c r="AD339" s="117"/>
      <c r="AE339" s="117"/>
      <c r="AM339" s="117"/>
      <c r="AN339" s="117"/>
    </row>
    <row r="340" spans="30:31" ht="11.25">
      <c r="AD340" s="117"/>
      <c r="AE340" s="117"/>
    </row>
    <row r="341" spans="30:40" ht="11.25">
      <c r="AD341" s="117"/>
      <c r="AE341" s="117"/>
      <c r="AM341" s="117"/>
      <c r="AN341" s="117"/>
    </row>
    <row r="342" spans="30:40" ht="11.25">
      <c r="AD342" s="117"/>
      <c r="AE342" s="117"/>
      <c r="AM342" s="117"/>
      <c r="AN342" s="117"/>
    </row>
    <row r="344" spans="30:40" ht="11.25">
      <c r="AD344" s="117"/>
      <c r="AE344" s="117"/>
      <c r="AF344" s="115"/>
      <c r="AG344" s="115"/>
      <c r="AH344" s="115"/>
      <c r="AM344" s="117"/>
      <c r="AN344" s="117"/>
    </row>
    <row r="345" spans="30:40" ht="11.25">
      <c r="AD345" s="117"/>
      <c r="AE345" s="117"/>
      <c r="AF345" s="114"/>
      <c r="AG345" s="114"/>
      <c r="AH345" s="114"/>
      <c r="AM345" s="117"/>
      <c r="AN345" s="117"/>
    </row>
    <row r="346" spans="30:34" ht="11.25">
      <c r="AD346" s="117"/>
      <c r="AE346" s="117"/>
      <c r="AF346" s="114"/>
      <c r="AG346" s="114"/>
      <c r="AH346" s="114"/>
    </row>
    <row r="347" spans="30:40" ht="11.25">
      <c r="AD347" s="117"/>
      <c r="AE347" s="117"/>
      <c r="AF347" s="114"/>
      <c r="AG347" s="114"/>
      <c r="AH347" s="114"/>
      <c r="AM347" s="117"/>
      <c r="AN347" s="117"/>
    </row>
    <row r="348" spans="30:40" ht="11.25">
      <c r="AD348" s="117"/>
      <c r="AE348" s="117"/>
      <c r="AF348" s="114"/>
      <c r="AG348" s="114"/>
      <c r="AH348" s="114"/>
      <c r="AM348" s="117"/>
      <c r="AN348" s="117"/>
    </row>
    <row r="350" spans="30:40" ht="11.25">
      <c r="AD350" s="117"/>
      <c r="AE350" s="117"/>
      <c r="AF350" s="115"/>
      <c r="AG350" s="115"/>
      <c r="AH350" s="115"/>
      <c r="AM350" s="117"/>
      <c r="AN350" s="117"/>
    </row>
    <row r="351" spans="30:40" ht="11.25">
      <c r="AD351" s="117"/>
      <c r="AE351" s="117"/>
      <c r="AF351" s="114"/>
      <c r="AG351" s="114"/>
      <c r="AH351" s="114"/>
      <c r="AM351" s="117"/>
      <c r="AN351" s="117"/>
    </row>
    <row r="352" spans="30:34" ht="11.25">
      <c r="AD352" s="117"/>
      <c r="AE352" s="117"/>
      <c r="AF352" s="114"/>
      <c r="AG352" s="114"/>
      <c r="AH352" s="114"/>
    </row>
    <row r="353" spans="30:40" ht="11.25">
      <c r="AD353" s="117"/>
      <c r="AE353" s="117"/>
      <c r="AF353" s="114"/>
      <c r="AG353" s="114"/>
      <c r="AH353" s="114"/>
      <c r="AM353" s="117"/>
      <c r="AN353" s="117"/>
    </row>
    <row r="354" spans="30:40" ht="11.25">
      <c r="AD354" s="117"/>
      <c r="AE354" s="117"/>
      <c r="AF354" s="114"/>
      <c r="AG354" s="114"/>
      <c r="AH354" s="114"/>
      <c r="AM354" s="117"/>
      <c r="AN354" s="117"/>
    </row>
    <row r="356" spans="30:40" ht="11.25">
      <c r="AD356" s="117"/>
      <c r="AE356" s="117"/>
      <c r="AF356" s="115"/>
      <c r="AG356" s="115"/>
      <c r="AH356" s="115"/>
      <c r="AM356" s="117"/>
      <c r="AN356" s="117"/>
    </row>
    <row r="357" spans="30:40" ht="11.25">
      <c r="AD357" s="117"/>
      <c r="AE357" s="117"/>
      <c r="AF357" s="114"/>
      <c r="AG357" s="114"/>
      <c r="AH357" s="114"/>
      <c r="AM357" s="117"/>
      <c r="AN357" s="117"/>
    </row>
    <row r="358" spans="30:34" ht="11.25">
      <c r="AD358" s="117"/>
      <c r="AE358" s="117"/>
      <c r="AF358" s="114"/>
      <c r="AG358" s="114"/>
      <c r="AH358" s="114"/>
    </row>
    <row r="359" spans="30:40" ht="11.25">
      <c r="AD359" s="117"/>
      <c r="AE359" s="117"/>
      <c r="AF359" s="114"/>
      <c r="AG359" s="114"/>
      <c r="AH359" s="114"/>
      <c r="AM359" s="117"/>
      <c r="AN359" s="117"/>
    </row>
    <row r="360" spans="30:40" ht="11.25">
      <c r="AD360" s="117"/>
      <c r="AE360" s="117"/>
      <c r="AF360" s="114"/>
      <c r="AG360" s="114"/>
      <c r="AH360" s="114"/>
      <c r="AM360" s="117"/>
      <c r="AN360" s="117"/>
    </row>
    <row r="362" spans="30:40" ht="11.25">
      <c r="AD362" s="117"/>
      <c r="AE362" s="117"/>
      <c r="AF362" s="115"/>
      <c r="AG362" s="115"/>
      <c r="AH362" s="115"/>
      <c r="AM362" s="117"/>
      <c r="AN362" s="117"/>
    </row>
    <row r="363" spans="30:34" ht="11.25">
      <c r="AD363" s="117"/>
      <c r="AE363" s="117"/>
      <c r="AF363" s="114"/>
      <c r="AG363" s="114"/>
      <c r="AH363" s="114"/>
    </row>
    <row r="364" spans="30:40" ht="11.25">
      <c r="AD364" s="117"/>
      <c r="AE364" s="117"/>
      <c r="AF364" s="114"/>
      <c r="AG364" s="114"/>
      <c r="AH364" s="114"/>
      <c r="AM364" s="117"/>
      <c r="AN364" s="117"/>
    </row>
    <row r="365" spans="30:40" ht="11.25">
      <c r="AD365" s="117"/>
      <c r="AE365" s="117"/>
      <c r="AF365" s="114"/>
      <c r="AG365" s="114"/>
      <c r="AH365" s="114"/>
      <c r="AM365" s="117"/>
      <c r="AN365" s="117"/>
    </row>
    <row r="367" spans="30:40" ht="11.25">
      <c r="AD367" s="117"/>
      <c r="AE367" s="117"/>
      <c r="AF367" s="115"/>
      <c r="AG367" s="115"/>
      <c r="AH367" s="115"/>
      <c r="AM367" s="117"/>
      <c r="AN367" s="117"/>
    </row>
    <row r="368" spans="30:40" ht="11.25">
      <c r="AD368" s="117"/>
      <c r="AE368" s="117"/>
      <c r="AF368" s="114"/>
      <c r="AG368" s="114"/>
      <c r="AH368" s="114"/>
      <c r="AM368" s="117"/>
      <c r="AN368" s="117"/>
    </row>
    <row r="369" spans="30:34" ht="11.25">
      <c r="AD369" s="117"/>
      <c r="AE369" s="117"/>
      <c r="AF369" s="114"/>
      <c r="AG369" s="114"/>
      <c r="AH369" s="114"/>
    </row>
    <row r="370" spans="30:40" ht="11.25">
      <c r="AD370" s="117"/>
      <c r="AE370" s="117"/>
      <c r="AF370" s="114"/>
      <c r="AG370" s="114"/>
      <c r="AH370" s="114"/>
      <c r="AM370" s="117"/>
      <c r="AN370" s="117"/>
    </row>
    <row r="371" spans="30:40" ht="11.25">
      <c r="AD371" s="117"/>
      <c r="AE371" s="117"/>
      <c r="AF371" s="114"/>
      <c r="AG371" s="114"/>
      <c r="AH371" s="114"/>
      <c r="AM371" s="117"/>
      <c r="AN371" s="117"/>
    </row>
    <row r="373" spans="30:40" ht="11.25">
      <c r="AD373" s="117"/>
      <c r="AE373" s="117"/>
      <c r="AF373" s="115"/>
      <c r="AG373" s="115"/>
      <c r="AH373" s="115"/>
      <c r="AM373" s="117"/>
      <c r="AN373" s="117"/>
    </row>
    <row r="374" spans="30:43" ht="11.25">
      <c r="AD374" s="117"/>
      <c r="AE374" s="117"/>
      <c r="AF374" s="115"/>
      <c r="AG374" s="115"/>
      <c r="AH374" s="115"/>
      <c r="AM374" s="119"/>
      <c r="AN374" s="119"/>
      <c r="AO374" s="119"/>
      <c r="AP374" s="119"/>
      <c r="AQ374" s="119"/>
    </row>
    <row r="375" spans="30:44" ht="11.25">
      <c r="AD375" s="117"/>
      <c r="AE375" s="117"/>
      <c r="AF375" s="114"/>
      <c r="AG375" s="114"/>
      <c r="AH375" s="114"/>
      <c r="AM375" s="117"/>
      <c r="AN375" s="117"/>
      <c r="AO375" s="119"/>
      <c r="AP375" s="119"/>
      <c r="AQ375" s="119"/>
      <c r="AR375" s="114"/>
    </row>
    <row r="376" spans="30:44" ht="11.25">
      <c r="AD376" s="117"/>
      <c r="AE376" s="117"/>
      <c r="AF376" s="114"/>
      <c r="AG376" s="114"/>
      <c r="AH376" s="114"/>
      <c r="AM376" s="119"/>
      <c r="AN376" s="119"/>
      <c r="AO376" s="119"/>
      <c r="AP376" s="119"/>
      <c r="AQ376" s="119"/>
      <c r="AR376" s="114"/>
    </row>
    <row r="377" spans="30:44" ht="11.25">
      <c r="AD377" s="117"/>
      <c r="AE377" s="117"/>
      <c r="AF377" s="114"/>
      <c r="AG377" s="114"/>
      <c r="AH377" s="114"/>
      <c r="AM377" s="119"/>
      <c r="AN377" s="119"/>
      <c r="AO377" s="119"/>
      <c r="AP377" s="119"/>
      <c r="AQ377" s="119"/>
      <c r="AR377" s="114"/>
    </row>
    <row r="378" spans="30:44" ht="11.25">
      <c r="AD378" s="117"/>
      <c r="AE378" s="117"/>
      <c r="AF378" s="114"/>
      <c r="AG378" s="114"/>
      <c r="AH378" s="114"/>
      <c r="AM378" s="119"/>
      <c r="AN378" s="119"/>
      <c r="AO378" s="119"/>
      <c r="AP378" s="119"/>
      <c r="AQ378" s="119"/>
      <c r="AR378" s="114"/>
    </row>
    <row r="379" spans="39:44" ht="11.25">
      <c r="AM379" s="117"/>
      <c r="AN379" s="117"/>
      <c r="AO379" s="119"/>
      <c r="AP379" s="119"/>
      <c r="AQ379" s="119"/>
      <c r="AR379" s="114"/>
    </row>
    <row r="380" spans="30:44" ht="11.25">
      <c r="AD380" s="117"/>
      <c r="AE380" s="117"/>
      <c r="AF380" s="115"/>
      <c r="AG380" s="115"/>
      <c r="AH380" s="115"/>
      <c r="AM380" s="117"/>
      <c r="AN380" s="117"/>
      <c r="AO380" s="119"/>
      <c r="AP380" s="119"/>
      <c r="AQ380" s="119"/>
      <c r="AR380" s="114"/>
    </row>
    <row r="381" spans="30:44" ht="11.25">
      <c r="AD381" s="117"/>
      <c r="AE381" s="117"/>
      <c r="AF381" s="114"/>
      <c r="AG381" s="114"/>
      <c r="AH381" s="114"/>
      <c r="AM381" s="117"/>
      <c r="AN381" s="117"/>
      <c r="AO381" s="119"/>
      <c r="AP381" s="119"/>
      <c r="AQ381" s="119"/>
      <c r="AR381" s="114"/>
    </row>
    <row r="382" spans="30:44" ht="11.25">
      <c r="AD382" s="117"/>
      <c r="AE382" s="117"/>
      <c r="AF382" s="114"/>
      <c r="AG382" s="114"/>
      <c r="AH382" s="114"/>
      <c r="AM382" s="117"/>
      <c r="AN382" s="117"/>
      <c r="AO382" s="119"/>
      <c r="AP382" s="119"/>
      <c r="AQ382" s="119"/>
      <c r="AR382" s="114"/>
    </row>
    <row r="383" spans="30:44" ht="11.25">
      <c r="AD383" s="117"/>
      <c r="AE383" s="117"/>
      <c r="AF383" s="114"/>
      <c r="AG383" s="114"/>
      <c r="AH383" s="114"/>
      <c r="AM383" s="117"/>
      <c r="AN383" s="117"/>
      <c r="AO383" s="119"/>
      <c r="AP383" s="119"/>
      <c r="AQ383" s="119"/>
      <c r="AR383" s="114"/>
    </row>
    <row r="384" spans="30:44" ht="11.25">
      <c r="AD384" s="117"/>
      <c r="AE384" s="117"/>
      <c r="AF384" s="114"/>
      <c r="AG384" s="114"/>
      <c r="AH384" s="114"/>
      <c r="AM384" s="117"/>
      <c r="AN384" s="117"/>
      <c r="AO384" s="119"/>
      <c r="AP384" s="119"/>
      <c r="AQ384" s="119"/>
      <c r="AR384" s="114"/>
    </row>
    <row r="385" spans="39:44" ht="11.25">
      <c r="AM385" s="117"/>
      <c r="AN385" s="117"/>
      <c r="AO385" s="119"/>
      <c r="AP385" s="119"/>
      <c r="AQ385" s="119"/>
      <c r="AR385" s="114"/>
    </row>
    <row r="386" spans="30:44" ht="11.25">
      <c r="AD386" s="117"/>
      <c r="AE386" s="117"/>
      <c r="AF386" s="115"/>
      <c r="AG386" s="115"/>
      <c r="AH386" s="115"/>
      <c r="AM386" s="117"/>
      <c r="AN386" s="117"/>
      <c r="AO386" s="119"/>
      <c r="AP386" s="119"/>
      <c r="AQ386" s="119"/>
      <c r="AR386" s="114"/>
    </row>
    <row r="387" spans="30:44" ht="11.25">
      <c r="AD387" s="117"/>
      <c r="AE387" s="117"/>
      <c r="AF387" s="114"/>
      <c r="AG387" s="114"/>
      <c r="AH387" s="114"/>
      <c r="AM387" s="117"/>
      <c r="AN387" s="117"/>
      <c r="AO387" s="119"/>
      <c r="AP387" s="119"/>
      <c r="AQ387" s="119"/>
      <c r="AR387" s="114"/>
    </row>
    <row r="388" spans="30:44" ht="11.25">
      <c r="AD388" s="117"/>
      <c r="AE388" s="117"/>
      <c r="AF388" s="114"/>
      <c r="AG388" s="114"/>
      <c r="AH388" s="114"/>
      <c r="AM388" s="117"/>
      <c r="AN388" s="117"/>
      <c r="AO388" s="119"/>
      <c r="AP388" s="119"/>
      <c r="AQ388" s="119"/>
      <c r="AR388" s="114"/>
    </row>
    <row r="389" spans="30:44" ht="11.25">
      <c r="AD389" s="117"/>
      <c r="AE389" s="117"/>
      <c r="AF389" s="114"/>
      <c r="AG389" s="114"/>
      <c r="AH389" s="114"/>
      <c r="AM389" s="117"/>
      <c r="AN389" s="117"/>
      <c r="AO389" s="119"/>
      <c r="AP389" s="119"/>
      <c r="AQ389" s="119"/>
      <c r="AR389" s="114"/>
    </row>
    <row r="390" spans="30:44" ht="11.25">
      <c r="AD390" s="117"/>
      <c r="AE390" s="117"/>
      <c r="AF390" s="114"/>
      <c r="AG390" s="114"/>
      <c r="AH390" s="114"/>
      <c r="AM390" s="117"/>
      <c r="AN390" s="117"/>
      <c r="AO390" s="119"/>
      <c r="AP390" s="119"/>
      <c r="AQ390" s="119"/>
      <c r="AR390" s="114"/>
    </row>
    <row r="391" spans="39:44" ht="11.25">
      <c r="AM391" s="117"/>
      <c r="AN391" s="117"/>
      <c r="AO391" s="119"/>
      <c r="AP391" s="119"/>
      <c r="AQ391" s="119"/>
      <c r="AR391" s="114"/>
    </row>
    <row r="392" spans="30:44" ht="11.25">
      <c r="AD392" s="117"/>
      <c r="AE392" s="117"/>
      <c r="AF392" s="115"/>
      <c r="AG392" s="115"/>
      <c r="AH392" s="115"/>
      <c r="AM392" s="117"/>
      <c r="AN392" s="117"/>
      <c r="AO392" s="119"/>
      <c r="AP392" s="119"/>
      <c r="AQ392" s="119"/>
      <c r="AR392" s="114"/>
    </row>
    <row r="393" spans="30:44" ht="11.25">
      <c r="AD393" s="117"/>
      <c r="AE393" s="117"/>
      <c r="AF393" s="114"/>
      <c r="AG393" s="114"/>
      <c r="AH393" s="114"/>
      <c r="AM393" s="117"/>
      <c r="AN393" s="117"/>
      <c r="AO393" s="119"/>
      <c r="AP393" s="119"/>
      <c r="AQ393" s="119"/>
      <c r="AR393" s="114"/>
    </row>
    <row r="394" spans="30:44" ht="11.25">
      <c r="AD394" s="117"/>
      <c r="AE394" s="117"/>
      <c r="AF394" s="114"/>
      <c r="AG394" s="114"/>
      <c r="AH394" s="114"/>
      <c r="AM394" s="117"/>
      <c r="AN394" s="117"/>
      <c r="AO394" s="119"/>
      <c r="AP394" s="119"/>
      <c r="AQ394" s="119"/>
      <c r="AR394" s="114"/>
    </row>
    <row r="395" spans="30:44" ht="11.25">
      <c r="AD395" s="117"/>
      <c r="AE395" s="117"/>
      <c r="AF395" s="114"/>
      <c r="AG395" s="114"/>
      <c r="AH395" s="114"/>
      <c r="AM395" s="117"/>
      <c r="AN395" s="117"/>
      <c r="AO395" s="119"/>
      <c r="AP395" s="119"/>
      <c r="AQ395" s="119"/>
      <c r="AR395" s="114"/>
    </row>
    <row r="396" spans="30:44" ht="11.25">
      <c r="AD396" s="117"/>
      <c r="AE396" s="117"/>
      <c r="AF396" s="114"/>
      <c r="AG396" s="114"/>
      <c r="AH396" s="114"/>
      <c r="AM396" s="117"/>
      <c r="AN396" s="117"/>
      <c r="AO396" s="119"/>
      <c r="AP396" s="119"/>
      <c r="AQ396" s="119"/>
      <c r="AR396" s="114"/>
    </row>
    <row r="397" spans="39:44" ht="11.25">
      <c r="AM397" s="117"/>
      <c r="AN397" s="117"/>
      <c r="AO397" s="119"/>
      <c r="AP397" s="119"/>
      <c r="AQ397" s="119"/>
      <c r="AR397" s="114"/>
    </row>
    <row r="398" spans="30:44" ht="11.25">
      <c r="AD398" s="117"/>
      <c r="AE398" s="117"/>
      <c r="AF398" s="115"/>
      <c r="AG398" s="115"/>
      <c r="AH398" s="115"/>
      <c r="AM398" s="117"/>
      <c r="AN398" s="117"/>
      <c r="AO398" s="119"/>
      <c r="AP398" s="119"/>
      <c r="AQ398" s="119"/>
      <c r="AR398" s="114"/>
    </row>
    <row r="399" spans="30:44" ht="11.25">
      <c r="AD399" s="117"/>
      <c r="AE399" s="117"/>
      <c r="AF399" s="114"/>
      <c r="AG399" s="114"/>
      <c r="AH399" s="114"/>
      <c r="AM399" s="117"/>
      <c r="AN399" s="117"/>
      <c r="AO399" s="119"/>
      <c r="AP399" s="119"/>
      <c r="AQ399" s="119"/>
      <c r="AR399" s="114"/>
    </row>
    <row r="400" spans="30:44" ht="11.25">
      <c r="AD400" s="117"/>
      <c r="AE400" s="117"/>
      <c r="AF400" s="114"/>
      <c r="AG400" s="114"/>
      <c r="AH400" s="114"/>
      <c r="AM400" s="117"/>
      <c r="AN400" s="117"/>
      <c r="AO400" s="119"/>
      <c r="AP400" s="119"/>
      <c r="AQ400" s="119"/>
      <c r="AR400" s="114"/>
    </row>
    <row r="401" spans="30:34" ht="11.25">
      <c r="AD401" s="117"/>
      <c r="AE401" s="117"/>
      <c r="AF401" s="114"/>
      <c r="AG401" s="114"/>
      <c r="AH401" s="114"/>
    </row>
    <row r="402" spans="30:43" ht="11.25">
      <c r="AD402" s="117"/>
      <c r="AE402" s="117"/>
      <c r="AF402" s="114"/>
      <c r="AG402" s="114"/>
      <c r="AH402" s="114"/>
      <c r="AQ402" s="64"/>
    </row>
    <row r="404" spans="30:34" ht="11.25">
      <c r="AD404" s="117"/>
      <c r="AE404" s="117"/>
      <c r="AF404" s="115"/>
      <c r="AG404" s="115"/>
      <c r="AH404" s="115"/>
    </row>
    <row r="405" spans="30:34" ht="11.25">
      <c r="AD405" s="117"/>
      <c r="AE405" s="117"/>
      <c r="AF405" s="114"/>
      <c r="AG405" s="114"/>
      <c r="AH405" s="114"/>
    </row>
    <row r="406" spans="30:34" ht="11.25">
      <c r="AD406" s="117"/>
      <c r="AE406" s="117"/>
      <c r="AF406" s="114"/>
      <c r="AG406" s="114"/>
      <c r="AH406" s="114"/>
    </row>
    <row r="407" spans="30:34" ht="11.25">
      <c r="AD407" s="117"/>
      <c r="AE407" s="117"/>
      <c r="AF407" s="114"/>
      <c r="AG407" s="114"/>
      <c r="AH407" s="114"/>
    </row>
    <row r="408" spans="30:34" ht="11.25">
      <c r="AD408" s="117"/>
      <c r="AE408" s="117"/>
      <c r="AF408" s="114"/>
      <c r="AG408" s="114"/>
      <c r="AH408" s="114"/>
    </row>
    <row r="410" spans="30:34" ht="11.25">
      <c r="AD410" s="117"/>
      <c r="AE410" s="117"/>
      <c r="AF410" s="115"/>
      <c r="AG410" s="115"/>
      <c r="AH410" s="115"/>
    </row>
    <row r="411" spans="30:34" ht="11.25">
      <c r="AD411" s="117"/>
      <c r="AE411" s="117"/>
      <c r="AF411" s="114"/>
      <c r="AG411" s="114"/>
      <c r="AH411" s="114"/>
    </row>
    <row r="412" spans="30:34" ht="11.25">
      <c r="AD412" s="117"/>
      <c r="AE412" s="117"/>
      <c r="AF412" s="114"/>
      <c r="AG412" s="114"/>
      <c r="AH412" s="114"/>
    </row>
    <row r="413" spans="30:34" ht="11.25">
      <c r="AD413" s="117"/>
      <c r="AE413" s="117"/>
      <c r="AF413" s="114"/>
      <c r="AG413" s="114"/>
      <c r="AH413" s="114"/>
    </row>
    <row r="414" spans="30:34" ht="11.25">
      <c r="AD414" s="117"/>
      <c r="AE414" s="117"/>
      <c r="AF414" s="114"/>
      <c r="AG414" s="114"/>
      <c r="AH414" s="114"/>
    </row>
    <row r="416" spans="30:34" ht="11.25">
      <c r="AD416" s="117"/>
      <c r="AE416" s="117"/>
      <c r="AF416" s="115"/>
      <c r="AG416" s="115"/>
      <c r="AH416" s="115"/>
    </row>
    <row r="417" spans="30:34" ht="11.25">
      <c r="AD417" s="117"/>
      <c r="AE417" s="117"/>
      <c r="AF417" s="114"/>
      <c r="AG417" s="114"/>
      <c r="AH417" s="114"/>
    </row>
    <row r="418" spans="30:34" ht="11.25">
      <c r="AD418" s="117"/>
      <c r="AE418" s="117"/>
      <c r="AF418" s="114"/>
      <c r="AG418" s="114"/>
      <c r="AH418" s="114"/>
    </row>
    <row r="419" spans="30:34" ht="11.25">
      <c r="AD419" s="117"/>
      <c r="AE419" s="117"/>
      <c r="AF419" s="114"/>
      <c r="AG419" s="114"/>
      <c r="AH419" s="114"/>
    </row>
    <row r="420" spans="30:34" ht="11.25">
      <c r="AD420" s="117"/>
      <c r="AE420" s="117"/>
      <c r="AF420" s="114"/>
      <c r="AG420" s="114"/>
      <c r="AH420" s="114"/>
    </row>
    <row r="422" spans="30:34" ht="11.25">
      <c r="AD422" s="117"/>
      <c r="AE422" s="117"/>
      <c r="AF422" s="115"/>
      <c r="AG422" s="115"/>
      <c r="AH422" s="115"/>
    </row>
    <row r="423" spans="30:34" ht="11.25">
      <c r="AD423" s="117"/>
      <c r="AE423" s="117"/>
      <c r="AF423" s="114"/>
      <c r="AG423" s="114"/>
      <c r="AH423" s="114"/>
    </row>
    <row r="424" spans="30:34" ht="11.25">
      <c r="AD424" s="117"/>
      <c r="AE424" s="117"/>
      <c r="AF424" s="114"/>
      <c r="AG424" s="114"/>
      <c r="AH424" s="114"/>
    </row>
    <row r="425" spans="30:34" ht="11.25">
      <c r="AD425" s="117"/>
      <c r="AE425" s="117"/>
      <c r="AF425" s="114"/>
      <c r="AG425" s="114"/>
      <c r="AH425" s="114"/>
    </row>
    <row r="426" spans="30:34" ht="11.25">
      <c r="AD426" s="117"/>
      <c r="AE426" s="117"/>
      <c r="AF426" s="114"/>
      <c r="AG426" s="114"/>
      <c r="AH426" s="114"/>
    </row>
    <row r="428" spans="30:34" ht="11.25">
      <c r="AD428" s="117"/>
      <c r="AE428" s="117"/>
      <c r="AF428" s="115"/>
      <c r="AG428" s="115"/>
      <c r="AH428" s="115"/>
    </row>
    <row r="429" spans="30:34" ht="11.25">
      <c r="AD429" s="117"/>
      <c r="AE429" s="117"/>
      <c r="AF429" s="114"/>
      <c r="AG429" s="114"/>
      <c r="AH429" s="114"/>
    </row>
    <row r="430" spans="30:34" ht="11.25">
      <c r="AD430" s="117"/>
      <c r="AE430" s="117"/>
      <c r="AF430" s="114"/>
      <c r="AG430" s="114"/>
      <c r="AH430" s="114"/>
    </row>
    <row r="431" spans="30:34" ht="11.25">
      <c r="AD431" s="117"/>
      <c r="AE431" s="117"/>
      <c r="AF431" s="114"/>
      <c r="AG431" s="114"/>
      <c r="AH431" s="114"/>
    </row>
    <row r="432" spans="30:34" ht="11.25">
      <c r="AD432" s="117"/>
      <c r="AE432" s="117"/>
      <c r="AF432" s="114"/>
      <c r="AG432" s="114"/>
      <c r="AH432" s="114"/>
    </row>
    <row r="434" spans="30:34" ht="11.25">
      <c r="AD434" s="117"/>
      <c r="AE434" s="117"/>
      <c r="AF434" s="115"/>
      <c r="AG434" s="115"/>
      <c r="AH434" s="115"/>
    </row>
    <row r="435" spans="30:34" ht="11.25">
      <c r="AD435" s="117"/>
      <c r="AE435" s="117"/>
      <c r="AF435" s="114"/>
      <c r="AG435" s="114"/>
      <c r="AH435" s="114"/>
    </row>
    <row r="436" spans="30:34" ht="11.25">
      <c r="AD436" s="117"/>
      <c r="AE436" s="117"/>
      <c r="AF436" s="114"/>
      <c r="AG436" s="114"/>
      <c r="AH436" s="114"/>
    </row>
    <row r="437" spans="30:34" ht="11.25">
      <c r="AD437" s="117"/>
      <c r="AE437" s="117"/>
      <c r="AF437" s="114"/>
      <c r="AG437" s="114"/>
      <c r="AH437" s="114"/>
    </row>
    <row r="438" spans="30:34" ht="11.25">
      <c r="AD438" s="117"/>
      <c r="AE438" s="117"/>
      <c r="AF438" s="114"/>
      <c r="AG438" s="114"/>
      <c r="AH438" s="114"/>
    </row>
    <row r="439" spans="30:34" ht="11.25">
      <c r="AD439" s="117"/>
      <c r="AE439" s="117"/>
      <c r="AF439" s="114"/>
      <c r="AG439" s="114"/>
      <c r="AH439" s="114"/>
    </row>
  </sheetData>
  <sheetProtection sheet="1"/>
  <protectedRanges>
    <protectedRange sqref="K35:K46" name="Range5"/>
    <protectedRange sqref="H16:H19 H5:H13 H29" name="Range4"/>
    <protectedRange sqref="D4:D8" name="Range1"/>
    <protectedRange sqref="D53 D11:D14 D78 D56:D70 D81:D95 D98:D99 D72:D75" name="Range2"/>
  </protectedRanges>
  <mergeCells count="3">
    <mergeCell ref="I5:K5"/>
    <mergeCell ref="D49:K49"/>
    <mergeCell ref="D50:K50"/>
  </mergeCells>
  <printOptions/>
  <pageMargins left="0.75" right="0.75" top="1" bottom="1" header="0.5" footer="0.5"/>
  <pageSetup fitToHeight="1" fitToWidth="1" horizontalDpi="300" verticalDpi="300" orientation="landscape" scale="7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70"/>
  <sheetViews>
    <sheetView showGridLines="0" zoomScalePageLayoutView="0" workbookViewId="0" topLeftCell="A1">
      <selection activeCell="C29" sqref="C29"/>
    </sheetView>
  </sheetViews>
  <sheetFormatPr defaultColWidth="9.140625" defaultRowHeight="12.75"/>
  <cols>
    <col min="1" max="1" width="10.140625" style="166" bestFit="1" customWidth="1"/>
    <col min="2" max="2" width="1.8515625" style="166" bestFit="1" customWidth="1"/>
    <col min="3" max="3" width="75.28125" style="166" bestFit="1" customWidth="1"/>
    <col min="4" max="4" width="2.140625" style="166" customWidth="1"/>
    <col min="5" max="5" width="75.28125" style="166" bestFit="1" customWidth="1"/>
    <col min="6" max="6" width="9.140625" style="166" customWidth="1"/>
    <col min="7" max="7" width="2.00390625" style="166" customWidth="1"/>
    <col min="8" max="8" width="10.8515625" style="166" bestFit="1" customWidth="1"/>
    <col min="9" max="16384" width="9.140625" style="166" customWidth="1"/>
  </cols>
  <sheetData>
    <row r="1" spans="1:14" ht="11.25">
      <c r="A1" s="168" t="s">
        <v>53</v>
      </c>
      <c r="B1" s="169" t="s">
        <v>0</v>
      </c>
      <c r="C1" s="170" t="s">
        <v>110</v>
      </c>
      <c r="D1" s="171"/>
      <c r="E1" s="172" t="str">
        <f aca="true" t="shared" si="0" ref="E1:E54">IF(D1="x","",CONCATENATE(A1,B1,C1))</f>
        <v>ID=BOXPLAN</v>
      </c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1.25">
      <c r="A2" s="168" t="s">
        <v>54</v>
      </c>
      <c r="B2" s="169" t="s">
        <v>0</v>
      </c>
      <c r="C2" s="170" t="s">
        <v>111</v>
      </c>
      <c r="D2" s="171"/>
      <c r="E2" s="173" t="str">
        <f t="shared" si="0"/>
        <v>Ang=2.0 x Pi</v>
      </c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1.25">
      <c r="A3" s="168" t="s">
        <v>55</v>
      </c>
      <c r="B3" s="169" t="s">
        <v>0</v>
      </c>
      <c r="C3" s="174">
        <f>sim_Eg</f>
        <v>2.83</v>
      </c>
      <c r="D3" s="171"/>
      <c r="E3" s="173" t="str">
        <f t="shared" si="0"/>
        <v>Eg=2.83</v>
      </c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1.25">
      <c r="A4" s="168" t="s">
        <v>56</v>
      </c>
      <c r="B4" s="169" t="s">
        <v>0</v>
      </c>
      <c r="C4" s="174">
        <f>sim_Rg</f>
        <v>0.1</v>
      </c>
      <c r="D4" s="171"/>
      <c r="E4" s="173" t="str">
        <f t="shared" si="0"/>
        <v>Rg=0.1</v>
      </c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1.25">
      <c r="A5" s="168" t="s">
        <v>149</v>
      </c>
      <c r="B5" s="169" t="s">
        <v>0</v>
      </c>
      <c r="C5" s="174">
        <v>0</v>
      </c>
      <c r="D5" s="171"/>
      <c r="E5" s="173" t="str">
        <f t="shared" si="0"/>
        <v>Fta=0</v>
      </c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1.25">
      <c r="A6" s="168" t="s">
        <v>13</v>
      </c>
      <c r="B6" s="169" t="s">
        <v>0</v>
      </c>
      <c r="C6" s="175">
        <f>ROUND(sim_S1,1)</f>
        <v>571.9</v>
      </c>
      <c r="D6" s="171"/>
      <c r="E6" s="173" t="str">
        <f t="shared" si="0"/>
        <v>S1=571.9</v>
      </c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1.25">
      <c r="A7" s="168" t="s">
        <v>32</v>
      </c>
      <c r="B7" s="169" t="s">
        <v>0</v>
      </c>
      <c r="C7" s="175">
        <f>ROUND(sim_S2,1)</f>
        <v>571.9</v>
      </c>
      <c r="D7" s="171"/>
      <c r="E7" s="173" t="str">
        <f>IF(D7="x","",CONCATENATE(A7,B7,C7))</f>
        <v>S2=571.9</v>
      </c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1.25">
      <c r="A8" s="168" t="s">
        <v>150</v>
      </c>
      <c r="B8" s="169" t="s">
        <v>0</v>
      </c>
      <c r="C8" s="175">
        <f>ROUND(sim_L12,1)</f>
        <v>18.9</v>
      </c>
      <c r="D8" s="171"/>
      <c r="E8" s="173" t="str">
        <f>IF(D8="x","",CONCATENATE(A8,B8,C8))</f>
        <v>Par=18.9</v>
      </c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1.25">
      <c r="A9" s="168" t="s">
        <v>151</v>
      </c>
      <c r="B9" s="169" t="s">
        <v>0</v>
      </c>
      <c r="C9" s="175">
        <v>0</v>
      </c>
      <c r="D9" s="171"/>
      <c r="E9" s="173" t="str">
        <f t="shared" si="0"/>
        <v>F12=0</v>
      </c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1.25">
      <c r="A10" s="168" t="s">
        <v>152</v>
      </c>
      <c r="B10" s="169" t="s">
        <v>0</v>
      </c>
      <c r="C10" s="175">
        <f>ROUND(sim_S2S,1)</f>
        <v>571.9</v>
      </c>
      <c r="D10" s="171"/>
      <c r="E10" s="173" t="str">
        <f>IF(D10="x","",CONCATENATE(A10,B10,C10))</f>
        <v>S2S=571.9</v>
      </c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11.25">
      <c r="A11" s="168" t="s">
        <v>38</v>
      </c>
      <c r="B11" s="169" t="s">
        <v>0</v>
      </c>
      <c r="C11" s="175">
        <f>ROUND(sim_S3,1)</f>
        <v>571.9</v>
      </c>
      <c r="D11" s="171"/>
      <c r="E11" s="173" t="str">
        <f t="shared" si="0"/>
        <v>S3=571.9</v>
      </c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1.25">
      <c r="A12" s="168" t="s">
        <v>150</v>
      </c>
      <c r="B12" s="169" t="s">
        <v>0</v>
      </c>
      <c r="C12" s="175">
        <f>ROUND(sim_L23,1)</f>
        <v>177.8</v>
      </c>
      <c r="D12" s="171"/>
      <c r="E12" s="173" t="str">
        <f>IF(D12="x","",CONCATENATE(A12,B12,C12))</f>
        <v>Par=177.8</v>
      </c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1.25">
      <c r="A13" s="168" t="s">
        <v>153</v>
      </c>
      <c r="B13" s="169" t="s">
        <v>0</v>
      </c>
      <c r="C13" s="175">
        <v>0</v>
      </c>
      <c r="D13" s="171"/>
      <c r="E13" s="173" t="str">
        <f t="shared" si="0"/>
        <v>F23=0</v>
      </c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1.25">
      <c r="A14" s="168" t="s">
        <v>154</v>
      </c>
      <c r="B14" s="169" t="s">
        <v>0</v>
      </c>
      <c r="C14" s="175">
        <f>ROUND(sim_S3S,1)</f>
        <v>743.4</v>
      </c>
      <c r="D14" s="171"/>
      <c r="E14" s="173" t="str">
        <f t="shared" si="0"/>
        <v>S3S=743.4</v>
      </c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ht="11.25">
      <c r="A15" s="168" t="s">
        <v>14</v>
      </c>
      <c r="B15" s="169" t="s">
        <v>0</v>
      </c>
      <c r="C15" s="175">
        <f>ROUND(sim_S4,1)</f>
        <v>743.4</v>
      </c>
      <c r="D15" s="171"/>
      <c r="E15" s="173" t="str">
        <f t="shared" si="0"/>
        <v>S4=743.4</v>
      </c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1.25">
      <c r="A16" s="168" t="s">
        <v>150</v>
      </c>
      <c r="B16" s="169" t="s">
        <v>0</v>
      </c>
      <c r="C16" s="175">
        <f>ROUND(sim_L34,1)</f>
        <v>10.9</v>
      </c>
      <c r="D16" s="171"/>
      <c r="E16" s="173" t="str">
        <f>IF(D16="x","",CONCATENATE(A16,B16,C16))</f>
        <v>Par=10.9</v>
      </c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11.25">
      <c r="A17" s="168" t="s">
        <v>57</v>
      </c>
      <c r="B17" s="169" t="s">
        <v>0</v>
      </c>
      <c r="C17" s="175">
        <v>0</v>
      </c>
      <c r="D17" s="171"/>
      <c r="E17" s="173" t="str">
        <f t="shared" si="0"/>
        <v>F34=0</v>
      </c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11.25">
      <c r="A18" s="168" t="s">
        <v>165</v>
      </c>
      <c r="B18" s="169" t="s">
        <v>0</v>
      </c>
      <c r="C18" s="175">
        <f>ROUND(sim_S4S,1)</f>
        <v>743.4</v>
      </c>
      <c r="D18" s="171"/>
      <c r="E18" s="173" t="str">
        <f t="shared" si="0"/>
        <v>S4S=743.4</v>
      </c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11.25">
      <c r="A19" s="168" t="s">
        <v>145</v>
      </c>
      <c r="B19" s="169" t="s">
        <v>0</v>
      </c>
      <c r="C19" s="175">
        <f>ROUND(sim_S5,1)</f>
        <v>743.4</v>
      </c>
      <c r="D19" s="171"/>
      <c r="E19" s="173" t="str">
        <f t="shared" si="0"/>
        <v>S5=743.4</v>
      </c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 ht="11.25">
      <c r="A20" s="168" t="s">
        <v>150</v>
      </c>
      <c r="B20" s="169" t="s">
        <v>0</v>
      </c>
      <c r="C20" s="175">
        <f>ROUND(sim_L45,1)</f>
        <v>12.8</v>
      </c>
      <c r="D20" s="171"/>
      <c r="E20" s="173" t="str">
        <f>IF(D20="x","",CONCATENATE(A20,B20,C20))</f>
        <v>Par=12.8</v>
      </c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ht="11.25">
      <c r="A21" s="168" t="s">
        <v>58</v>
      </c>
      <c r="B21" s="169" t="s">
        <v>0</v>
      </c>
      <c r="C21" s="174">
        <v>0</v>
      </c>
      <c r="D21" s="171"/>
      <c r="E21" s="173" t="str">
        <f t="shared" si="0"/>
        <v>F45=0</v>
      </c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ht="11.25">
      <c r="A22" s="168" t="s">
        <v>59</v>
      </c>
      <c r="B22" s="169" t="s">
        <v>0</v>
      </c>
      <c r="C22" s="174">
        <f>Driver_Sd</f>
        <v>545.4</v>
      </c>
      <c r="D22" s="171"/>
      <c r="E22" s="173" t="str">
        <f t="shared" si="0"/>
        <v>Sd=545.4</v>
      </c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 ht="11.25">
      <c r="A23" s="168" t="s">
        <v>60</v>
      </c>
      <c r="B23" s="169" t="s">
        <v>0</v>
      </c>
      <c r="C23" s="174">
        <f>ROUND((Driver_Re/(Driver_Qes*numCms*2*PI()*Driver_Fs))^0.5,2)</f>
        <v>14.57</v>
      </c>
      <c r="D23" s="171"/>
      <c r="E23" s="173" t="str">
        <f t="shared" si="0"/>
        <v>Bl=14.57</v>
      </c>
      <c r="I23" s="124"/>
      <c r="J23" s="124"/>
      <c r="K23" s="124"/>
      <c r="L23" s="124"/>
      <c r="M23" s="124"/>
      <c r="N23" s="124"/>
    </row>
    <row r="24" spans="1:14" ht="11.25">
      <c r="A24" s="168" t="s">
        <v>61</v>
      </c>
      <c r="B24" s="169" t="s">
        <v>0</v>
      </c>
      <c r="C24" s="174">
        <f>ROUND(Driver_Vas/(1.42*Driver_Sd^2),6)</f>
        <v>0.000253</v>
      </c>
      <c r="D24" s="171"/>
      <c r="E24" s="173" t="str">
        <f t="shared" si="0"/>
        <v>Cms=0.000253</v>
      </c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ht="11.25">
      <c r="A25" s="168" t="s">
        <v>62</v>
      </c>
      <c r="B25" s="169" t="s">
        <v>0</v>
      </c>
      <c r="C25" s="174">
        <f>ROUND(1/(2*PI()*Driver_Fs*numCms*Driver_Qms),2)</f>
        <v>2.09</v>
      </c>
      <c r="D25" s="171"/>
      <c r="E25" s="173" t="str">
        <f t="shared" si="0"/>
        <v>Rms=2.09</v>
      </c>
      <c r="I25" s="124"/>
      <c r="J25" s="124"/>
      <c r="K25" s="124"/>
      <c r="L25" s="124"/>
      <c r="M25" s="124"/>
      <c r="N25" s="124"/>
    </row>
    <row r="26" spans="1:14" ht="11.25">
      <c r="A26" s="168" t="s">
        <v>63</v>
      </c>
      <c r="B26" s="169" t="s">
        <v>0</v>
      </c>
      <c r="C26" s="174">
        <f>ROUND(1000/((2*PI()*Driver_Fs)^2*numCms)-(0.575*Driver_Sd^1.5/1000),2)</f>
        <v>69.92</v>
      </c>
      <c r="D26" s="171"/>
      <c r="E26" s="173" t="str">
        <f t="shared" si="0"/>
        <v>Mmd=69.92</v>
      </c>
      <c r="F26" s="124"/>
      <c r="G26" s="124"/>
      <c r="H26" s="123"/>
      <c r="I26" s="124"/>
      <c r="J26" s="124"/>
      <c r="K26" s="124"/>
      <c r="L26" s="124"/>
      <c r="M26" s="124"/>
      <c r="N26" s="124"/>
    </row>
    <row r="27" spans="1:14" ht="11.25">
      <c r="A27" s="168" t="s">
        <v>64</v>
      </c>
      <c r="B27" s="169" t="s">
        <v>0</v>
      </c>
      <c r="C27" s="174">
        <f>Driver_Le</f>
        <v>0.66</v>
      </c>
      <c r="D27" s="171"/>
      <c r="E27" s="173" t="str">
        <f t="shared" si="0"/>
        <v>Le=0.66</v>
      </c>
      <c r="F27" s="124"/>
      <c r="G27" s="124"/>
      <c r="H27" s="123"/>
      <c r="I27" s="124"/>
      <c r="J27" s="124"/>
      <c r="K27" s="124"/>
      <c r="L27" s="124"/>
      <c r="M27" s="124"/>
      <c r="N27" s="124"/>
    </row>
    <row r="28" spans="1:14" ht="11.25">
      <c r="A28" s="168" t="s">
        <v>65</v>
      </c>
      <c r="B28" s="169" t="s">
        <v>0</v>
      </c>
      <c r="C28" s="174">
        <f>Driver_Re</f>
        <v>3.89</v>
      </c>
      <c r="D28" s="171"/>
      <c r="E28" s="173" t="str">
        <f t="shared" si="0"/>
        <v>Re=3.89</v>
      </c>
      <c r="F28" s="124"/>
      <c r="G28" s="124"/>
      <c r="H28" s="123"/>
      <c r="I28" s="124"/>
      <c r="J28" s="124"/>
      <c r="K28" s="124"/>
      <c r="L28" s="124"/>
      <c r="M28" s="124"/>
      <c r="N28" s="124"/>
    </row>
    <row r="29" spans="1:14" ht="11.25">
      <c r="A29" s="168" t="s">
        <v>148</v>
      </c>
      <c r="B29" s="169" t="s">
        <v>0</v>
      </c>
      <c r="C29" s="260" t="str">
        <f>Design!D106</f>
        <v>1</v>
      </c>
      <c r="D29" s="171"/>
      <c r="E29" s="173" t="str">
        <f t="shared" si="0"/>
        <v>TH=1</v>
      </c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4" ht="11.25">
      <c r="A30" s="168" t="s">
        <v>66</v>
      </c>
      <c r="B30" s="169" t="s">
        <v>0</v>
      </c>
      <c r="C30" s="174">
        <f>ROUND(sim_Vrc,1)</f>
        <v>33.1</v>
      </c>
      <c r="D30" s="171"/>
      <c r="E30" s="173" t="str">
        <f t="shared" si="0"/>
        <v>Vrc=33.1</v>
      </c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4" ht="11.25">
      <c r="A31" s="168" t="s">
        <v>67</v>
      </c>
      <c r="B31" s="169" t="s">
        <v>0</v>
      </c>
      <c r="C31" s="174">
        <f>ROUND(sim_Lrc,1)</f>
        <v>44.6</v>
      </c>
      <c r="D31" s="171"/>
      <c r="E31" s="173" t="str">
        <f t="shared" si="0"/>
        <v>Lrc=44.6</v>
      </c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ht="11.25">
      <c r="A32" s="168" t="s">
        <v>172</v>
      </c>
      <c r="B32" s="169" t="s">
        <v>0</v>
      </c>
      <c r="C32" s="175">
        <f>ROUND(sim_Ap1,1)</f>
        <v>743.4</v>
      </c>
      <c r="D32" s="171"/>
      <c r="E32" s="173" t="str">
        <f t="shared" si="0"/>
        <v>Ap=743.4</v>
      </c>
      <c r="F32" s="124"/>
      <c r="G32" s="124"/>
      <c r="H32" s="124"/>
      <c r="I32" s="124"/>
      <c r="J32" s="124"/>
      <c r="K32" s="124"/>
      <c r="L32" s="124"/>
      <c r="M32" s="124"/>
      <c r="N32" s="124"/>
    </row>
    <row r="33" spans="1:14" ht="11.25">
      <c r="A33" s="168" t="s">
        <v>173</v>
      </c>
      <c r="B33" s="169" t="s">
        <v>0</v>
      </c>
      <c r="C33" s="175">
        <f>ROUND(sim_Lp,1)</f>
        <v>1.9</v>
      </c>
      <c r="D33" s="171"/>
      <c r="E33" s="173" t="str">
        <f t="shared" si="0"/>
        <v>Lpt=1.9</v>
      </c>
      <c r="F33" s="124"/>
      <c r="G33" s="124"/>
      <c r="H33" s="124"/>
      <c r="I33" s="124"/>
      <c r="J33" s="124"/>
      <c r="K33" s="124"/>
      <c r="L33" s="124"/>
      <c r="M33" s="124"/>
      <c r="N33" s="124"/>
    </row>
    <row r="34" spans="1:14" ht="11.25">
      <c r="A34" s="168" t="s">
        <v>68</v>
      </c>
      <c r="B34" s="169" t="s">
        <v>0</v>
      </c>
      <c r="C34" s="176">
        <f>sim_Vtc</f>
        <v>3161.5873903033944</v>
      </c>
      <c r="D34" s="171"/>
      <c r="E34" s="173" t="str">
        <f>IF(D34="x","",CONCATENATE(A34,B34,C34))</f>
        <v>Vtc=3161.58739030339</v>
      </c>
      <c r="F34" s="124"/>
      <c r="G34" s="124"/>
      <c r="H34" s="124"/>
      <c r="I34" s="124"/>
      <c r="J34" s="124"/>
      <c r="K34" s="124"/>
      <c r="L34" s="124"/>
      <c r="M34" s="124"/>
      <c r="N34" s="124"/>
    </row>
    <row r="35" spans="1:14" ht="11.25">
      <c r="A35" s="168" t="s">
        <v>69</v>
      </c>
      <c r="B35" s="169" t="s">
        <v>0</v>
      </c>
      <c r="C35" s="175">
        <f>sim_Atc</f>
        <v>545.4</v>
      </c>
      <c r="D35" s="171"/>
      <c r="E35" s="173" t="str">
        <f>IF(D35="x","",CONCATENATE(A35,B35,C35))</f>
        <v>Atc=545.4</v>
      </c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14" ht="11.25">
      <c r="A36" s="168" t="s">
        <v>70</v>
      </c>
      <c r="B36" s="169" t="s">
        <v>0</v>
      </c>
      <c r="C36" s="175">
        <f>Driver_Pmax</f>
        <v>1100</v>
      </c>
      <c r="D36" s="171"/>
      <c r="E36" s="173" t="str">
        <f t="shared" si="0"/>
        <v>Pmax=1100</v>
      </c>
      <c r="F36" s="124"/>
      <c r="G36" s="124"/>
      <c r="H36" s="124"/>
      <c r="I36" s="124"/>
      <c r="J36" s="124"/>
      <c r="K36" s="124"/>
      <c r="L36" s="124"/>
      <c r="M36" s="124"/>
      <c r="N36" s="124"/>
    </row>
    <row r="37" spans="1:14" ht="11.25">
      <c r="A37" s="168" t="s">
        <v>71</v>
      </c>
      <c r="B37" s="169" t="s">
        <v>0</v>
      </c>
      <c r="C37" s="175">
        <f>Driver_Xmax</f>
        <v>9.1</v>
      </c>
      <c r="D37" s="171"/>
      <c r="E37" s="173" t="str">
        <f t="shared" si="0"/>
        <v>Xmax=9.1</v>
      </c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4" ht="11.25">
      <c r="A38" s="168" t="s">
        <v>112</v>
      </c>
      <c r="B38" s="169" t="s">
        <v>0</v>
      </c>
      <c r="C38" s="175">
        <v>0</v>
      </c>
      <c r="D38" s="171"/>
      <c r="E38" s="173" t="str">
        <f t="shared" si="0"/>
        <v>Path=0</v>
      </c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4" ht="11.25">
      <c r="A39" s="168" t="s">
        <v>113</v>
      </c>
      <c r="B39" s="169" t="s">
        <v>0</v>
      </c>
      <c r="C39" s="175">
        <v>0</v>
      </c>
      <c r="D39" s="171"/>
      <c r="E39" s="173" t="str">
        <f t="shared" si="0"/>
        <v>Mass=0</v>
      </c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1.25">
      <c r="A40" s="168" t="s">
        <v>97</v>
      </c>
      <c r="B40" s="169" t="s">
        <v>0</v>
      </c>
      <c r="C40" s="177">
        <f>Driver_Re1</f>
        <v>3.16</v>
      </c>
      <c r="D40" s="171"/>
      <c r="E40" s="173" t="str">
        <f t="shared" si="0"/>
        <v>Re'=3.16</v>
      </c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11.25">
      <c r="A41" s="168" t="s">
        <v>98</v>
      </c>
      <c r="B41" s="169" t="s">
        <v>0</v>
      </c>
      <c r="C41" s="177">
        <f>Driver_Leb</f>
        <v>0.47</v>
      </c>
      <c r="D41" s="171"/>
      <c r="E41" s="173" t="str">
        <f t="shared" si="0"/>
        <v>Leb=0.47</v>
      </c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ht="11.25">
      <c r="A42" s="168" t="s">
        <v>64</v>
      </c>
      <c r="B42" s="169" t="s">
        <v>0</v>
      </c>
      <c r="C42" s="177">
        <f>Driver_Le1</f>
        <v>22.96</v>
      </c>
      <c r="D42" s="171"/>
      <c r="E42" s="173" t="str">
        <f t="shared" si="0"/>
        <v>Le=22.96</v>
      </c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1.25">
      <c r="A43" s="168" t="s">
        <v>99</v>
      </c>
      <c r="B43" s="169" t="s">
        <v>0</v>
      </c>
      <c r="C43" s="177">
        <f>Driver_Ke</f>
        <v>0.08</v>
      </c>
      <c r="D43" s="171"/>
      <c r="E43" s="173" t="str">
        <f t="shared" si="0"/>
        <v>Ke=0.08</v>
      </c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1.25">
      <c r="A44" s="168" t="s">
        <v>101</v>
      </c>
      <c r="B44" s="169" t="s">
        <v>0</v>
      </c>
      <c r="C44" s="177">
        <f>Driver_Rss</f>
        <v>50.07</v>
      </c>
      <c r="D44" s="171"/>
      <c r="E44" s="173" t="str">
        <f t="shared" si="0"/>
        <v>Rss=50.07</v>
      </c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1.25">
      <c r="A45" s="168" t="s">
        <v>62</v>
      </c>
      <c r="B45" s="169" t="s">
        <v>0</v>
      </c>
      <c r="C45" s="175">
        <v>0</v>
      </c>
      <c r="D45" s="171"/>
      <c r="E45" s="173" t="str">
        <f t="shared" si="0"/>
        <v>Rms=0</v>
      </c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1.25">
      <c r="A46" s="168" t="s">
        <v>114</v>
      </c>
      <c r="B46" s="169" t="s">
        <v>0</v>
      </c>
      <c r="C46" s="175">
        <v>0</v>
      </c>
      <c r="D46" s="171"/>
      <c r="E46" s="173" t="str">
        <f t="shared" si="0"/>
        <v>Ams=0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1.25">
      <c r="A47" s="168" t="s">
        <v>115</v>
      </c>
      <c r="B47" s="169" t="s">
        <v>0</v>
      </c>
      <c r="C47" s="175">
        <v>0</v>
      </c>
      <c r="D47" s="171" t="str">
        <f aca="true" t="shared" si="1" ref="D47:D54">IF($C$1="BOXPLAN","x","")</f>
        <v>x</v>
      </c>
      <c r="E47" s="173">
        <f t="shared" si="0"/>
      </c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1.25">
      <c r="A48" s="168" t="s">
        <v>116</v>
      </c>
      <c r="B48" s="169" t="s">
        <v>0</v>
      </c>
      <c r="C48" s="175">
        <v>0</v>
      </c>
      <c r="D48" s="171" t="str">
        <f t="shared" si="1"/>
        <v>x</v>
      </c>
      <c r="E48" s="173">
        <f t="shared" si="0"/>
      </c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1.25">
      <c r="A49" s="168" t="s">
        <v>117</v>
      </c>
      <c r="B49" s="169" t="s">
        <v>0</v>
      </c>
      <c r="C49" s="175">
        <v>0</v>
      </c>
      <c r="D49" s="171" t="str">
        <f t="shared" si="1"/>
        <v>x</v>
      </c>
      <c r="E49" s="173">
        <f t="shared" si="0"/>
      </c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1.25">
      <c r="A50" s="168" t="s">
        <v>118</v>
      </c>
      <c r="B50" s="169" t="s">
        <v>0</v>
      </c>
      <c r="C50" s="175">
        <v>0</v>
      </c>
      <c r="D50" s="171" t="str">
        <f t="shared" si="1"/>
        <v>x</v>
      </c>
      <c r="E50" s="173">
        <f t="shared" si="0"/>
      </c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1.25">
      <c r="A51" s="168" t="s">
        <v>119</v>
      </c>
      <c r="B51" s="169" t="s">
        <v>0</v>
      </c>
      <c r="C51" s="175">
        <v>100</v>
      </c>
      <c r="D51" s="171" t="str">
        <f t="shared" si="1"/>
        <v>x</v>
      </c>
      <c r="E51" s="173">
        <f t="shared" si="0"/>
      </c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ht="11.25">
      <c r="A52" s="168" t="s">
        <v>120</v>
      </c>
      <c r="B52" s="169" t="s">
        <v>0</v>
      </c>
      <c r="C52" s="175">
        <v>100</v>
      </c>
      <c r="D52" s="171" t="str">
        <f t="shared" si="1"/>
        <v>x</v>
      </c>
      <c r="E52" s="173">
        <f t="shared" si="0"/>
      </c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 ht="11.25">
      <c r="A53" s="168" t="s">
        <v>121</v>
      </c>
      <c r="B53" s="169" t="s">
        <v>0</v>
      </c>
      <c r="C53" s="175">
        <v>100</v>
      </c>
      <c r="D53" s="171" t="str">
        <f t="shared" si="1"/>
        <v>x</v>
      </c>
      <c r="E53" s="173">
        <f t="shared" si="0"/>
      </c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ht="11.25">
      <c r="A54" s="168" t="s">
        <v>122</v>
      </c>
      <c r="B54" s="169" t="s">
        <v>0</v>
      </c>
      <c r="C54" s="175">
        <v>100</v>
      </c>
      <c r="D54" s="171" t="str">
        <f t="shared" si="1"/>
        <v>x</v>
      </c>
      <c r="E54" s="173">
        <f t="shared" si="0"/>
      </c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ht="11.25">
      <c r="A55" s="168" t="s">
        <v>72</v>
      </c>
      <c r="B55" s="169" t="s">
        <v>0</v>
      </c>
      <c r="C55" s="175" t="str">
        <f>sim_Comment</f>
        <v>BOXPLAN-PARAA 0.8 BETA - 2022-05-22 21:28:55</v>
      </c>
      <c r="D55" s="171"/>
      <c r="E55" s="173" t="str">
        <f>IF(D55="x","",CONCATENATE(A55,B55,C55))</f>
        <v>Comment=BOXPLAN-PARAA 0.8 BETA - 2022-05-22 21:28:55</v>
      </c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1.25">
      <c r="A56" s="178"/>
      <c r="B56" s="178"/>
      <c r="C56" s="178" t="s">
        <v>123</v>
      </c>
      <c r="D56" s="171" t="str">
        <f aca="true" t="shared" si="2" ref="D56:D65">IF($C$1="BOXPLAN","x","")</f>
        <v>x</v>
      </c>
      <c r="E56" s="173">
        <f>IF(D56="x","",CONCATENATE(A56,B56,C56))</f>
      </c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 ht="11.25">
      <c r="A57" s="178"/>
      <c r="B57" s="178"/>
      <c r="C57" s="178" t="s">
        <v>124</v>
      </c>
      <c r="D57" s="171" t="str">
        <f t="shared" si="2"/>
        <v>x</v>
      </c>
      <c r="E57" s="173">
        <f aca="true" t="shared" si="3" ref="E57:E70">IF(D57="x","",CONCATENATE(A57,B57,C57))</f>
      </c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 ht="11.25">
      <c r="A58" s="178"/>
      <c r="B58" s="178"/>
      <c r="C58" s="178" t="s">
        <v>125</v>
      </c>
      <c r="D58" s="171" t="str">
        <f t="shared" si="2"/>
        <v>x</v>
      </c>
      <c r="E58" s="173">
        <f t="shared" si="3"/>
      </c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 ht="11.25">
      <c r="A59" s="178"/>
      <c r="B59" s="178"/>
      <c r="C59" s="178" t="s">
        <v>125</v>
      </c>
      <c r="D59" s="171" t="str">
        <f t="shared" si="2"/>
        <v>x</v>
      </c>
      <c r="E59" s="173">
        <f t="shared" si="3"/>
      </c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11.25">
      <c r="A60" s="178"/>
      <c r="B60" s="178"/>
      <c r="C60" s="178" t="s">
        <v>126</v>
      </c>
      <c r="D60" s="171" t="str">
        <f t="shared" si="2"/>
        <v>x</v>
      </c>
      <c r="E60" s="173">
        <f t="shared" si="3"/>
      </c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 ht="11.25">
      <c r="A61" s="178"/>
      <c r="B61" s="178"/>
      <c r="C61" s="178" t="s">
        <v>127</v>
      </c>
      <c r="D61" s="171" t="str">
        <f t="shared" si="2"/>
        <v>x</v>
      </c>
      <c r="E61" s="173">
        <f t="shared" si="3"/>
      </c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1.25">
      <c r="A62" s="178"/>
      <c r="B62" s="178"/>
      <c r="C62" s="178" t="s">
        <v>128</v>
      </c>
      <c r="D62" s="171" t="str">
        <f t="shared" si="2"/>
        <v>x</v>
      </c>
      <c r="E62" s="173">
        <f t="shared" si="3"/>
      </c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1.25">
      <c r="A63" s="178"/>
      <c r="B63" s="178"/>
      <c r="C63" s="178" t="s">
        <v>129</v>
      </c>
      <c r="D63" s="171" t="str">
        <f t="shared" si="2"/>
        <v>x</v>
      </c>
      <c r="E63" s="173">
        <f t="shared" si="3"/>
      </c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1.25">
      <c r="A64" s="178"/>
      <c r="B64" s="178"/>
      <c r="C64" s="178" t="s">
        <v>130</v>
      </c>
      <c r="D64" s="171" t="str">
        <f t="shared" si="2"/>
        <v>x</v>
      </c>
      <c r="E64" s="173">
        <f t="shared" si="3"/>
      </c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1.25">
      <c r="A65" s="178"/>
      <c r="B65" s="178"/>
      <c r="C65" s="178" t="s">
        <v>131</v>
      </c>
      <c r="D65" s="171" t="str">
        <f t="shared" si="2"/>
        <v>x</v>
      </c>
      <c r="E65" s="173">
        <f t="shared" si="3"/>
      </c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ht="11.25">
      <c r="A66" s="178"/>
      <c r="B66" s="178"/>
      <c r="C66" s="178" t="s">
        <v>132</v>
      </c>
      <c r="D66" s="171" t="str">
        <f>IF($C$1="BOXPLAN","x","")</f>
        <v>x</v>
      </c>
      <c r="E66" s="173">
        <f t="shared" si="3"/>
      </c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1.25">
      <c r="A67" s="178"/>
      <c r="B67" s="178"/>
      <c r="C67" s="178" t="s">
        <v>133</v>
      </c>
      <c r="D67" s="171" t="str">
        <f>IF($C$1="BOXPLAN","x","")</f>
        <v>x</v>
      </c>
      <c r="E67" s="173">
        <f t="shared" si="3"/>
      </c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1.25">
      <c r="A68" s="178"/>
      <c r="B68" s="178"/>
      <c r="C68" s="178" t="s">
        <v>134</v>
      </c>
      <c r="D68" s="171" t="str">
        <f>IF($C$1="BOXPLAN","x","")</f>
        <v>x</v>
      </c>
      <c r="E68" s="173">
        <f t="shared" si="3"/>
      </c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ht="11.25">
      <c r="A69" s="178"/>
      <c r="B69" s="178"/>
      <c r="C69" s="178" t="s">
        <v>135</v>
      </c>
      <c r="D69" s="171" t="str">
        <f>IF($C$1="BOXPLAN","x","")</f>
        <v>x</v>
      </c>
      <c r="E69" s="173">
        <f t="shared" si="3"/>
      </c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ht="11.25">
      <c r="A70" s="178"/>
      <c r="B70" s="178"/>
      <c r="C70" s="178" t="s">
        <v>123</v>
      </c>
      <c r="D70" s="171" t="str">
        <f>IF($C$1="BOXPLAN","x","")</f>
        <v>x</v>
      </c>
      <c r="E70" s="179">
        <f t="shared" si="3"/>
      </c>
      <c r="F70" s="131"/>
      <c r="G70" s="131"/>
      <c r="H70" s="131"/>
      <c r="I70" s="131"/>
      <c r="J70" s="131"/>
      <c r="K70" s="131"/>
      <c r="L70" s="131"/>
      <c r="M70" s="131"/>
      <c r="N70" s="131"/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70"/>
  <sheetViews>
    <sheetView showGridLines="0" zoomScalePageLayoutView="0" workbookViewId="0" topLeftCell="A25">
      <selection activeCell="C30" sqref="C30"/>
    </sheetView>
  </sheetViews>
  <sheetFormatPr defaultColWidth="9.140625" defaultRowHeight="12.75"/>
  <cols>
    <col min="1" max="1" width="7.28125" style="0" bestFit="1" customWidth="1"/>
    <col min="2" max="2" width="1.8515625" style="0" bestFit="1" customWidth="1"/>
    <col min="3" max="3" width="75.28125" style="0" bestFit="1" customWidth="1"/>
    <col min="4" max="4" width="1.8515625" style="0" bestFit="1" customWidth="1"/>
    <col min="5" max="5" width="45.140625" style="0" bestFit="1" customWidth="1"/>
  </cols>
  <sheetData>
    <row r="1" spans="1:5" ht="12.75">
      <c r="A1" s="168" t="s">
        <v>53</v>
      </c>
      <c r="B1" s="169" t="s">
        <v>0</v>
      </c>
      <c r="C1" s="170" t="s">
        <v>110</v>
      </c>
      <c r="D1" s="171"/>
      <c r="E1" s="172" t="str">
        <f aca="true" t="shared" si="0" ref="E1:E55">IF(D1="x","",CONCATENATE(A1,B1,C1))</f>
        <v>ID=BOXPLAN</v>
      </c>
    </row>
    <row r="2" spans="1:5" ht="12.75">
      <c r="A2" s="168" t="s">
        <v>54</v>
      </c>
      <c r="B2" s="169" t="s">
        <v>0</v>
      </c>
      <c r="C2" s="170" t="s">
        <v>111</v>
      </c>
      <c r="D2" s="171"/>
      <c r="E2" s="173" t="str">
        <f t="shared" si="0"/>
        <v>Ang=2.0 x Pi</v>
      </c>
    </row>
    <row r="3" spans="1:5" ht="12.75">
      <c r="A3" s="168" t="s">
        <v>55</v>
      </c>
      <c r="B3" s="169" t="s">
        <v>0</v>
      </c>
      <c r="C3" s="174">
        <f>sim_Eg</f>
        <v>2.83</v>
      </c>
      <c r="D3" s="171"/>
      <c r="E3" s="173" t="str">
        <f t="shared" si="0"/>
        <v>Eg=2.83</v>
      </c>
    </row>
    <row r="4" spans="1:5" ht="12.75">
      <c r="A4" s="168" t="s">
        <v>56</v>
      </c>
      <c r="B4" s="169" t="s">
        <v>0</v>
      </c>
      <c r="C4" s="174">
        <f>sim_Rg</f>
        <v>0.1</v>
      </c>
      <c r="D4" s="171"/>
      <c r="E4" s="173" t="str">
        <f t="shared" si="0"/>
        <v>Rg=0.1</v>
      </c>
    </row>
    <row r="5" spans="1:5" ht="12.75">
      <c r="A5" s="168" t="s">
        <v>149</v>
      </c>
      <c r="B5" s="169" t="s">
        <v>0</v>
      </c>
      <c r="C5" s="174">
        <v>0</v>
      </c>
      <c r="D5" s="171"/>
      <c r="E5" s="173" t="str">
        <f t="shared" si="0"/>
        <v>Fta=0</v>
      </c>
    </row>
    <row r="6" spans="1:5" ht="12.75">
      <c r="A6" s="168" t="s">
        <v>13</v>
      </c>
      <c r="B6" s="169" t="s">
        <v>0</v>
      </c>
      <c r="C6" s="175">
        <f>ROUND(sim_S1,1)</f>
        <v>571.9</v>
      </c>
      <c r="D6" s="171"/>
      <c r="E6" s="173" t="str">
        <f t="shared" si="0"/>
        <v>S1=571.9</v>
      </c>
    </row>
    <row r="7" spans="1:5" ht="12.75">
      <c r="A7" s="168" t="s">
        <v>32</v>
      </c>
      <c r="B7" s="169" t="s">
        <v>0</v>
      </c>
      <c r="C7" s="175">
        <f>ROUND(sim_S2,1)</f>
        <v>571.9</v>
      </c>
      <c r="D7" s="171"/>
      <c r="E7" s="173" t="str">
        <f t="shared" si="0"/>
        <v>S2=571.9</v>
      </c>
    </row>
    <row r="8" spans="1:5" ht="12.75">
      <c r="A8" s="168" t="s">
        <v>150</v>
      </c>
      <c r="B8" s="169" t="s">
        <v>0</v>
      </c>
      <c r="C8" s="175">
        <f>ROUND(sim_L12,2)</f>
        <v>18.9</v>
      </c>
      <c r="D8" s="171"/>
      <c r="E8" s="173" t="str">
        <f t="shared" si="0"/>
        <v>Par=18.9</v>
      </c>
    </row>
    <row r="9" spans="1:5" ht="12.75">
      <c r="A9" s="168" t="s">
        <v>151</v>
      </c>
      <c r="B9" s="169" t="s">
        <v>0</v>
      </c>
      <c r="C9" s="175">
        <v>0</v>
      </c>
      <c r="D9" s="171"/>
      <c r="E9" s="173" t="str">
        <f t="shared" si="0"/>
        <v>F12=0</v>
      </c>
    </row>
    <row r="10" spans="1:5" ht="12.75">
      <c r="A10" s="168" t="s">
        <v>152</v>
      </c>
      <c r="B10" s="169" t="s">
        <v>0</v>
      </c>
      <c r="C10" s="175">
        <f>ROUND(sim_S2,1)</f>
        <v>571.9</v>
      </c>
      <c r="D10" s="171"/>
      <c r="E10" s="173" t="str">
        <f t="shared" si="0"/>
        <v>S2S=571.9</v>
      </c>
    </row>
    <row r="11" spans="1:5" ht="12.75">
      <c r="A11" s="168" t="s">
        <v>38</v>
      </c>
      <c r="B11" s="169" t="s">
        <v>0</v>
      </c>
      <c r="C11" s="175">
        <f>ROUND(sim_S3,1)</f>
        <v>571.9</v>
      </c>
      <c r="D11" s="171"/>
      <c r="E11" s="173" t="str">
        <f t="shared" si="0"/>
        <v>S3=571.9</v>
      </c>
    </row>
    <row r="12" spans="1:5" ht="12.75">
      <c r="A12" s="168" t="s">
        <v>150</v>
      </c>
      <c r="B12" s="169" t="s">
        <v>0</v>
      </c>
      <c r="C12" s="175">
        <f>ROUND(sim_L23,2)</f>
        <v>177.76</v>
      </c>
      <c r="D12" s="171"/>
      <c r="E12" s="173" t="str">
        <f t="shared" si="0"/>
        <v>Par=177.76</v>
      </c>
    </row>
    <row r="13" spans="1:5" ht="12.75">
      <c r="A13" s="168" t="s">
        <v>153</v>
      </c>
      <c r="B13" s="169" t="s">
        <v>0</v>
      </c>
      <c r="C13" s="175">
        <v>0</v>
      </c>
      <c r="D13" s="171"/>
      <c r="E13" s="173" t="str">
        <f t="shared" si="0"/>
        <v>F23=0</v>
      </c>
    </row>
    <row r="14" spans="1:5" ht="12.75">
      <c r="A14" s="168" t="s">
        <v>154</v>
      </c>
      <c r="B14" s="169" t="s">
        <v>0</v>
      </c>
      <c r="C14" s="175">
        <f>ROUND(sim_S3S,1)</f>
        <v>743.4</v>
      </c>
      <c r="D14" s="171"/>
      <c r="E14" s="173" t="str">
        <f t="shared" si="0"/>
        <v>S3S=743.4</v>
      </c>
    </row>
    <row r="15" spans="1:5" ht="12.75">
      <c r="A15" s="168" t="s">
        <v>14</v>
      </c>
      <c r="B15" s="169" t="s">
        <v>0</v>
      </c>
      <c r="C15" s="175">
        <f>ROUND(sim_S4,1)</f>
        <v>743.4</v>
      </c>
      <c r="D15" s="171"/>
      <c r="E15" s="173" t="str">
        <f t="shared" si="0"/>
        <v>S4=743.4</v>
      </c>
    </row>
    <row r="16" spans="1:5" ht="12.75">
      <c r="A16" s="168" t="s">
        <v>150</v>
      </c>
      <c r="B16" s="169" t="s">
        <v>0</v>
      </c>
      <c r="C16" s="175">
        <f>ROUND(sim_L34,1)</f>
        <v>10.9</v>
      </c>
      <c r="D16" s="171"/>
      <c r="E16" s="173" t="str">
        <f t="shared" si="0"/>
        <v>Par=10.9</v>
      </c>
    </row>
    <row r="17" spans="1:5" ht="12.75">
      <c r="A17" s="168" t="s">
        <v>57</v>
      </c>
      <c r="B17" s="169" t="s">
        <v>0</v>
      </c>
      <c r="C17" s="175">
        <v>0</v>
      </c>
      <c r="D17" s="171"/>
      <c r="E17" s="173" t="str">
        <f t="shared" si="0"/>
        <v>F34=0</v>
      </c>
    </row>
    <row r="18" spans="1:5" ht="12.75">
      <c r="A18" s="168" t="s">
        <v>165</v>
      </c>
      <c r="B18" s="169" t="s">
        <v>0</v>
      </c>
      <c r="C18" s="175">
        <f>ROUND(sim_S4S,1)</f>
        <v>743.4</v>
      </c>
      <c r="D18" s="171"/>
      <c r="E18" s="173" t="str">
        <f t="shared" si="0"/>
        <v>S4S=743.4</v>
      </c>
    </row>
    <row r="19" spans="1:5" ht="12.75">
      <c r="A19" s="168" t="s">
        <v>145</v>
      </c>
      <c r="B19" s="169" t="s">
        <v>0</v>
      </c>
      <c r="C19" s="175">
        <f>ROUND(sim_S5,1)</f>
        <v>743.4</v>
      </c>
      <c r="D19" s="171"/>
      <c r="E19" s="173" t="str">
        <f t="shared" si="0"/>
        <v>S5=743.4</v>
      </c>
    </row>
    <row r="20" spans="1:5" ht="12.75">
      <c r="A20" s="168" t="s">
        <v>150</v>
      </c>
      <c r="B20" s="169" t="s">
        <v>0</v>
      </c>
      <c r="C20" s="175">
        <f>ROUND(sim_L45,1)</f>
        <v>12.8</v>
      </c>
      <c r="D20" s="171"/>
      <c r="E20" s="173" t="str">
        <f t="shared" si="0"/>
        <v>Par=12.8</v>
      </c>
    </row>
    <row r="21" spans="1:5" ht="12.75">
      <c r="A21" s="168" t="s">
        <v>58</v>
      </c>
      <c r="B21" s="169" t="s">
        <v>0</v>
      </c>
      <c r="C21" s="174">
        <v>0</v>
      </c>
      <c r="D21" s="171"/>
      <c r="E21" s="173" t="str">
        <f t="shared" si="0"/>
        <v>F45=0</v>
      </c>
    </row>
    <row r="22" spans="1:5" ht="12.75">
      <c r="A22" s="168" t="s">
        <v>59</v>
      </c>
      <c r="B22" s="169" t="s">
        <v>0</v>
      </c>
      <c r="C22" s="174">
        <f>Driver_Sd</f>
        <v>545.4</v>
      </c>
      <c r="D22" s="171"/>
      <c r="E22" s="173" t="str">
        <f t="shared" si="0"/>
        <v>Sd=545.4</v>
      </c>
    </row>
    <row r="23" spans="1:5" ht="12.75">
      <c r="A23" s="168" t="s">
        <v>60</v>
      </c>
      <c r="B23" s="169" t="s">
        <v>0</v>
      </c>
      <c r="C23" s="174">
        <f>ROUND((Driver_Re/(Driver_Qes*numCms*2*PI()*Driver_Fs))^0.5,2)</f>
        <v>14.57</v>
      </c>
      <c r="D23" s="171"/>
      <c r="E23" s="173" t="str">
        <f t="shared" si="0"/>
        <v>Bl=14.57</v>
      </c>
    </row>
    <row r="24" spans="1:5" ht="12.75">
      <c r="A24" s="168" t="s">
        <v>61</v>
      </c>
      <c r="B24" s="169" t="s">
        <v>0</v>
      </c>
      <c r="C24" s="174">
        <f>ROUND(Driver_Vas/(1.42*Driver_Sd^2),6)</f>
        <v>0.000253</v>
      </c>
      <c r="D24" s="171"/>
      <c r="E24" s="173" t="str">
        <f t="shared" si="0"/>
        <v>Cms=0.000253</v>
      </c>
    </row>
    <row r="25" spans="1:5" ht="12.75">
      <c r="A25" s="168" t="s">
        <v>62</v>
      </c>
      <c r="B25" s="169" t="s">
        <v>0</v>
      </c>
      <c r="C25" s="174">
        <f>ROUND(1/(2*PI()*Driver_Fs*numCms*Driver_Qms),2)</f>
        <v>2.09</v>
      </c>
      <c r="D25" s="171"/>
      <c r="E25" s="173" t="str">
        <f t="shared" si="0"/>
        <v>Rms=2.09</v>
      </c>
    </row>
    <row r="26" spans="1:5" ht="12.75">
      <c r="A26" s="168" t="s">
        <v>63</v>
      </c>
      <c r="B26" s="169" t="s">
        <v>0</v>
      </c>
      <c r="C26" s="174">
        <f>ROUND(1000/((2*PI()*Driver_Fs)^2*numCms)-(0.575*Driver_Sd^1.5/1000),2)</f>
        <v>69.92</v>
      </c>
      <c r="D26" s="171"/>
      <c r="E26" s="173" t="str">
        <f t="shared" si="0"/>
        <v>Mmd=69.92</v>
      </c>
    </row>
    <row r="27" spans="1:5" ht="12.75">
      <c r="A27" s="168" t="s">
        <v>64</v>
      </c>
      <c r="B27" s="169" t="s">
        <v>0</v>
      </c>
      <c r="C27" s="174">
        <f>Driver_Le</f>
        <v>0.66</v>
      </c>
      <c r="D27" s="171"/>
      <c r="E27" s="173" t="str">
        <f t="shared" si="0"/>
        <v>Le=0.66</v>
      </c>
    </row>
    <row r="28" spans="1:5" ht="12.75">
      <c r="A28" s="168" t="s">
        <v>65</v>
      </c>
      <c r="B28" s="169" t="s">
        <v>0</v>
      </c>
      <c r="C28" s="174">
        <f>Driver_Re</f>
        <v>3.89</v>
      </c>
      <c r="D28" s="171"/>
      <c r="E28" s="173" t="str">
        <f t="shared" si="0"/>
        <v>Re=3.89</v>
      </c>
    </row>
    <row r="29" spans="1:5" ht="12.75">
      <c r="A29" s="168" t="s">
        <v>191</v>
      </c>
      <c r="B29" s="169" t="s">
        <v>0</v>
      </c>
      <c r="C29" s="260" t="str">
        <f>Design!D106</f>
        <v>1</v>
      </c>
      <c r="D29" s="171"/>
      <c r="E29" s="173" t="str">
        <f t="shared" si="0"/>
        <v>PH1=1</v>
      </c>
    </row>
    <row r="30" spans="1:5" ht="12.75">
      <c r="A30" s="168" t="s">
        <v>182</v>
      </c>
      <c r="B30" s="169" t="s">
        <v>0</v>
      </c>
      <c r="C30" s="174">
        <f>ROUND(sim_S6,1)</f>
        <v>743.4</v>
      </c>
      <c r="D30" s="171"/>
      <c r="E30" s="173" t="str">
        <f t="shared" si="0"/>
        <v>S6=743.4</v>
      </c>
    </row>
    <row r="31" spans="1:5" ht="12.75">
      <c r="A31" s="168" t="s">
        <v>192</v>
      </c>
      <c r="B31" s="169" t="s">
        <v>0</v>
      </c>
      <c r="C31" s="174">
        <f>sim_L6</f>
        <v>18.9</v>
      </c>
      <c r="D31" s="171"/>
      <c r="E31" s="173" t="str">
        <f t="shared" si="0"/>
        <v>Con=18.9</v>
      </c>
    </row>
    <row r="32" spans="1:5" ht="12.75">
      <c r="A32" s="168" t="s">
        <v>184</v>
      </c>
      <c r="B32" s="169" t="s">
        <v>0</v>
      </c>
      <c r="C32" s="175">
        <f>ROUND(sim_S8,1)</f>
        <v>743.4</v>
      </c>
      <c r="D32" s="171"/>
      <c r="E32" s="173" t="str">
        <f t="shared" si="0"/>
        <v>S8=743.4</v>
      </c>
    </row>
    <row r="33" spans="1:5" ht="12.75">
      <c r="A33" s="168" t="s">
        <v>192</v>
      </c>
      <c r="B33" s="169" t="s">
        <v>0</v>
      </c>
      <c r="C33" s="175">
        <f>ROUND(sim_L8,1)</f>
        <v>25.7</v>
      </c>
      <c r="D33" s="171"/>
      <c r="E33" s="173" t="str">
        <f t="shared" si="0"/>
        <v>Con=25.7</v>
      </c>
    </row>
    <row r="34" spans="1:5" ht="12.75">
      <c r="A34" s="168" t="s">
        <v>186</v>
      </c>
      <c r="B34" s="169" t="s">
        <v>0</v>
      </c>
      <c r="C34" s="175">
        <f>ROUND(sim_S9,1)</f>
        <v>743.4</v>
      </c>
      <c r="D34" s="171"/>
      <c r="E34" s="173" t="str">
        <f t="shared" si="0"/>
        <v>S9=743.4</v>
      </c>
    </row>
    <row r="35" spans="1:5" ht="12.75">
      <c r="A35" s="168" t="s">
        <v>192</v>
      </c>
      <c r="B35" s="169" t="s">
        <v>0</v>
      </c>
      <c r="C35" s="175">
        <f>ROUND(sim_L9,1)</f>
        <v>1.9</v>
      </c>
      <c r="D35" s="171"/>
      <c r="E35" s="173" t="str">
        <f t="shared" si="0"/>
        <v>Con=1.9</v>
      </c>
    </row>
    <row r="36" spans="1:5" ht="12.75">
      <c r="A36" s="168" t="s">
        <v>70</v>
      </c>
      <c r="B36" s="169" t="s">
        <v>0</v>
      </c>
      <c r="C36" s="175">
        <f>Driver_Pmax</f>
        <v>1100</v>
      </c>
      <c r="D36" s="171"/>
      <c r="E36" s="173" t="str">
        <f t="shared" si="0"/>
        <v>Pmax=1100</v>
      </c>
    </row>
    <row r="37" spans="1:5" ht="12.75">
      <c r="A37" s="168" t="s">
        <v>71</v>
      </c>
      <c r="B37" s="169" t="s">
        <v>0</v>
      </c>
      <c r="C37" s="175">
        <f>Driver_Xmax</f>
        <v>9.1</v>
      </c>
      <c r="D37" s="171"/>
      <c r="E37" s="173" t="str">
        <f t="shared" si="0"/>
        <v>Xmax=9.1</v>
      </c>
    </row>
    <row r="38" spans="1:5" ht="12.75">
      <c r="A38" s="168" t="s">
        <v>112</v>
      </c>
      <c r="B38" s="169" t="s">
        <v>0</v>
      </c>
      <c r="C38" s="175">
        <v>0</v>
      </c>
      <c r="D38" s="171"/>
      <c r="E38" s="173" t="str">
        <f t="shared" si="0"/>
        <v>Path=0</v>
      </c>
    </row>
    <row r="39" spans="1:5" ht="12.75">
      <c r="A39" s="168" t="s">
        <v>113</v>
      </c>
      <c r="B39" s="169" t="s">
        <v>0</v>
      </c>
      <c r="C39" s="175">
        <v>0</v>
      </c>
      <c r="D39" s="171"/>
      <c r="E39" s="173" t="str">
        <f t="shared" si="0"/>
        <v>Mass=0</v>
      </c>
    </row>
    <row r="40" spans="1:5" ht="12.75">
      <c r="A40" s="168" t="s">
        <v>97</v>
      </c>
      <c r="B40" s="169" t="s">
        <v>0</v>
      </c>
      <c r="C40" s="177">
        <f>Driver_Re1</f>
        <v>3.16</v>
      </c>
      <c r="D40" s="171"/>
      <c r="E40" s="173" t="str">
        <f t="shared" si="0"/>
        <v>Re'=3.16</v>
      </c>
    </row>
    <row r="41" spans="1:5" ht="12.75">
      <c r="A41" s="168" t="s">
        <v>98</v>
      </c>
      <c r="B41" s="169" t="s">
        <v>0</v>
      </c>
      <c r="C41" s="177">
        <f>Driver_Leb</f>
        <v>0.47</v>
      </c>
      <c r="D41" s="171"/>
      <c r="E41" s="173" t="str">
        <f t="shared" si="0"/>
        <v>Leb=0.47</v>
      </c>
    </row>
    <row r="42" spans="1:5" ht="12.75">
      <c r="A42" s="168" t="s">
        <v>64</v>
      </c>
      <c r="B42" s="169" t="s">
        <v>0</v>
      </c>
      <c r="C42" s="177">
        <f>Driver_Le1</f>
        <v>22.96</v>
      </c>
      <c r="D42" s="171"/>
      <c r="E42" s="173" t="str">
        <f t="shared" si="0"/>
        <v>Le=22.96</v>
      </c>
    </row>
    <row r="43" spans="1:5" ht="12.75">
      <c r="A43" s="168" t="s">
        <v>99</v>
      </c>
      <c r="B43" s="169" t="s">
        <v>0</v>
      </c>
      <c r="C43" s="177">
        <f>Driver_Ke</f>
        <v>0.08</v>
      </c>
      <c r="D43" s="171"/>
      <c r="E43" s="173" t="str">
        <f t="shared" si="0"/>
        <v>Ke=0.08</v>
      </c>
    </row>
    <row r="44" spans="1:5" ht="12.75">
      <c r="A44" s="168" t="s">
        <v>101</v>
      </c>
      <c r="B44" s="169" t="s">
        <v>0</v>
      </c>
      <c r="C44" s="177">
        <f>Driver_Rss</f>
        <v>50.07</v>
      </c>
      <c r="D44" s="171"/>
      <c r="E44" s="173" t="str">
        <f t="shared" si="0"/>
        <v>Rss=50.07</v>
      </c>
    </row>
    <row r="45" spans="1:5" ht="12.75">
      <c r="A45" s="168" t="s">
        <v>62</v>
      </c>
      <c r="B45" s="169" t="s">
        <v>0</v>
      </c>
      <c r="C45" s="175">
        <v>0</v>
      </c>
      <c r="D45" s="171"/>
      <c r="E45" s="173" t="str">
        <f t="shared" si="0"/>
        <v>Rms=0</v>
      </c>
    </row>
    <row r="46" spans="1:5" ht="12.75">
      <c r="A46" s="168" t="s">
        <v>114</v>
      </c>
      <c r="B46" s="169" t="s">
        <v>0</v>
      </c>
      <c r="C46" s="175">
        <v>0</v>
      </c>
      <c r="D46" s="171"/>
      <c r="E46" s="173" t="str">
        <f t="shared" si="0"/>
        <v>Ams=0</v>
      </c>
    </row>
    <row r="47" spans="1:5" ht="12.75">
      <c r="A47" s="168" t="s">
        <v>115</v>
      </c>
      <c r="B47" s="169" t="s">
        <v>0</v>
      </c>
      <c r="C47" s="175">
        <v>0</v>
      </c>
      <c r="D47" s="171" t="str">
        <f aca="true" t="shared" si="1" ref="D47:D56">IF($C$1="BOXPLAN","x","")</f>
        <v>x</v>
      </c>
      <c r="E47" s="173">
        <f t="shared" si="0"/>
      </c>
    </row>
    <row r="48" spans="1:5" ht="12.75">
      <c r="A48" s="168" t="s">
        <v>116</v>
      </c>
      <c r="B48" s="169" t="s">
        <v>0</v>
      </c>
      <c r="C48" s="175">
        <v>0</v>
      </c>
      <c r="D48" s="171" t="str">
        <f t="shared" si="1"/>
        <v>x</v>
      </c>
      <c r="E48" s="173">
        <f t="shared" si="0"/>
      </c>
    </row>
    <row r="49" spans="1:5" ht="12.75">
      <c r="A49" s="168" t="s">
        <v>117</v>
      </c>
      <c r="B49" s="169" t="s">
        <v>0</v>
      </c>
      <c r="C49" s="175">
        <v>0</v>
      </c>
      <c r="D49" s="171" t="str">
        <f t="shared" si="1"/>
        <v>x</v>
      </c>
      <c r="E49" s="173">
        <f t="shared" si="0"/>
      </c>
    </row>
    <row r="50" spans="1:5" ht="12.75">
      <c r="A50" s="168" t="s">
        <v>118</v>
      </c>
      <c r="B50" s="169" t="s">
        <v>0</v>
      </c>
      <c r="C50" s="175">
        <v>0</v>
      </c>
      <c r="D50" s="171" t="str">
        <f t="shared" si="1"/>
        <v>x</v>
      </c>
      <c r="E50" s="173">
        <f t="shared" si="0"/>
      </c>
    </row>
    <row r="51" spans="1:5" ht="12.75">
      <c r="A51" s="168" t="s">
        <v>119</v>
      </c>
      <c r="B51" s="169" t="s">
        <v>0</v>
      </c>
      <c r="C51" s="175">
        <v>100</v>
      </c>
      <c r="D51" s="171" t="str">
        <f t="shared" si="1"/>
        <v>x</v>
      </c>
      <c r="E51" s="173">
        <f t="shared" si="0"/>
      </c>
    </row>
    <row r="52" spans="1:5" ht="12.75">
      <c r="A52" s="168" t="s">
        <v>120</v>
      </c>
      <c r="B52" s="169" t="s">
        <v>0</v>
      </c>
      <c r="C52" s="175">
        <v>100</v>
      </c>
      <c r="D52" s="171" t="str">
        <f t="shared" si="1"/>
        <v>x</v>
      </c>
      <c r="E52" s="173">
        <f t="shared" si="0"/>
      </c>
    </row>
    <row r="53" spans="1:5" ht="12.75">
      <c r="A53" s="168" t="s">
        <v>121</v>
      </c>
      <c r="B53" s="169" t="s">
        <v>0</v>
      </c>
      <c r="C53" s="175">
        <v>100</v>
      </c>
      <c r="D53" s="171" t="str">
        <f t="shared" si="1"/>
        <v>x</v>
      </c>
      <c r="E53" s="173">
        <f t="shared" si="0"/>
      </c>
    </row>
    <row r="54" spans="1:5" ht="12.75">
      <c r="A54" s="168" t="s">
        <v>122</v>
      </c>
      <c r="B54" s="169" t="s">
        <v>0</v>
      </c>
      <c r="C54" s="175">
        <v>100</v>
      </c>
      <c r="D54" s="171" t="str">
        <f t="shared" si="1"/>
        <v>x</v>
      </c>
      <c r="E54" s="173">
        <f t="shared" si="0"/>
      </c>
    </row>
    <row r="55" spans="1:5" ht="12.75">
      <c r="A55" s="168" t="s">
        <v>72</v>
      </c>
      <c r="B55" s="169" t="s">
        <v>0</v>
      </c>
      <c r="C55" s="175" t="str">
        <f>sim_Comment</f>
        <v>BOXPLAN-PARAA 0.8 BETA - 2022-05-22 21:28:55</v>
      </c>
      <c r="D55" s="171"/>
      <c r="E55" s="173" t="str">
        <f t="shared" si="0"/>
        <v>Comment=BOXPLAN-PARAA 0.8 BETA - 2022-05-22 21:28:55</v>
      </c>
    </row>
    <row r="56" spans="1:5" ht="12.75">
      <c r="A56" s="178"/>
      <c r="B56" s="178"/>
      <c r="C56" s="178" t="s">
        <v>123</v>
      </c>
      <c r="D56" s="171" t="str">
        <f t="shared" si="1"/>
        <v>x</v>
      </c>
      <c r="E56" s="173">
        <f>IF(D56="x","",CONCATENATE(A56,B56,C56))</f>
      </c>
    </row>
    <row r="57" spans="1:5" ht="12.75">
      <c r="A57" s="178"/>
      <c r="B57" s="178"/>
      <c r="C57" s="178" t="s">
        <v>124</v>
      </c>
      <c r="D57" s="171" t="str">
        <f>IF($C$1="BOXPLAN","x","")</f>
        <v>x</v>
      </c>
      <c r="E57" s="173">
        <f aca="true" t="shared" si="2" ref="E57:E70">IF(D57="x","",CONCATENATE(A57,B57,C57))</f>
      </c>
    </row>
    <row r="58" spans="1:5" ht="12.75">
      <c r="A58" s="178"/>
      <c r="B58" s="178"/>
      <c r="C58" s="178" t="s">
        <v>125</v>
      </c>
      <c r="D58" s="171" t="str">
        <f aca="true" t="shared" si="3" ref="D58:D70">IF($C$1="BOXPLAN","x","")</f>
        <v>x</v>
      </c>
      <c r="E58" s="173">
        <f t="shared" si="2"/>
      </c>
    </row>
    <row r="59" spans="1:5" ht="12.75">
      <c r="A59" s="178"/>
      <c r="B59" s="178"/>
      <c r="C59" s="178" t="s">
        <v>125</v>
      </c>
      <c r="D59" s="171" t="str">
        <f t="shared" si="3"/>
        <v>x</v>
      </c>
      <c r="E59" s="173">
        <f t="shared" si="2"/>
      </c>
    </row>
    <row r="60" spans="1:5" ht="12.75">
      <c r="A60" s="178"/>
      <c r="B60" s="178"/>
      <c r="C60" s="178" t="s">
        <v>126</v>
      </c>
      <c r="D60" s="171" t="str">
        <f t="shared" si="3"/>
        <v>x</v>
      </c>
      <c r="E60" s="173">
        <f t="shared" si="2"/>
      </c>
    </row>
    <row r="61" spans="1:5" ht="12.75">
      <c r="A61" s="178"/>
      <c r="B61" s="178"/>
      <c r="C61" s="178" t="s">
        <v>127</v>
      </c>
      <c r="D61" s="171" t="str">
        <f t="shared" si="3"/>
        <v>x</v>
      </c>
      <c r="E61" s="173">
        <f t="shared" si="2"/>
      </c>
    </row>
    <row r="62" spans="1:5" ht="12.75">
      <c r="A62" s="178"/>
      <c r="B62" s="178"/>
      <c r="C62" s="178" t="s">
        <v>128</v>
      </c>
      <c r="D62" s="171" t="str">
        <f t="shared" si="3"/>
        <v>x</v>
      </c>
      <c r="E62" s="173">
        <f t="shared" si="2"/>
      </c>
    </row>
    <row r="63" spans="1:5" ht="12.75">
      <c r="A63" s="178"/>
      <c r="B63" s="178"/>
      <c r="C63" s="178" t="s">
        <v>129</v>
      </c>
      <c r="D63" s="171" t="str">
        <f t="shared" si="3"/>
        <v>x</v>
      </c>
      <c r="E63" s="173">
        <f t="shared" si="2"/>
      </c>
    </row>
    <row r="64" spans="1:5" ht="12.75">
      <c r="A64" s="178"/>
      <c r="B64" s="178"/>
      <c r="C64" s="178" t="s">
        <v>130</v>
      </c>
      <c r="D64" s="171" t="str">
        <f t="shared" si="3"/>
        <v>x</v>
      </c>
      <c r="E64" s="173">
        <f t="shared" si="2"/>
      </c>
    </row>
    <row r="65" spans="1:5" ht="12.75">
      <c r="A65" s="178"/>
      <c r="B65" s="178"/>
      <c r="C65" s="178" t="s">
        <v>131</v>
      </c>
      <c r="D65" s="171" t="str">
        <f t="shared" si="3"/>
        <v>x</v>
      </c>
      <c r="E65" s="173">
        <f t="shared" si="2"/>
      </c>
    </row>
    <row r="66" spans="1:5" ht="12.75">
      <c r="A66" s="178"/>
      <c r="B66" s="178"/>
      <c r="C66" s="178" t="s">
        <v>132</v>
      </c>
      <c r="D66" s="171" t="str">
        <f t="shared" si="3"/>
        <v>x</v>
      </c>
      <c r="E66" s="173">
        <f t="shared" si="2"/>
      </c>
    </row>
    <row r="67" spans="1:5" ht="12.75">
      <c r="A67" s="178"/>
      <c r="B67" s="178"/>
      <c r="C67" s="178" t="s">
        <v>133</v>
      </c>
      <c r="D67" s="171" t="str">
        <f t="shared" si="3"/>
        <v>x</v>
      </c>
      <c r="E67" s="173">
        <f t="shared" si="2"/>
      </c>
    </row>
    <row r="68" spans="1:5" ht="12.75">
      <c r="A68" s="178"/>
      <c r="B68" s="178"/>
      <c r="C68" s="178" t="s">
        <v>134</v>
      </c>
      <c r="D68" s="171" t="str">
        <f t="shared" si="3"/>
        <v>x</v>
      </c>
      <c r="E68" s="173">
        <f t="shared" si="2"/>
      </c>
    </row>
    <row r="69" spans="1:5" ht="12.75">
      <c r="A69" s="178"/>
      <c r="B69" s="178"/>
      <c r="C69" s="178" t="s">
        <v>135</v>
      </c>
      <c r="D69" s="171" t="str">
        <f t="shared" si="3"/>
        <v>x</v>
      </c>
      <c r="E69" s="173">
        <f t="shared" si="2"/>
      </c>
    </row>
    <row r="70" spans="1:5" ht="12.75">
      <c r="A70" s="178"/>
      <c r="B70" s="178"/>
      <c r="C70" s="178" t="s">
        <v>123</v>
      </c>
      <c r="D70" s="171" t="str">
        <f t="shared" si="3"/>
        <v>x</v>
      </c>
      <c r="E70" s="179">
        <f t="shared" si="2"/>
      </c>
    </row>
  </sheetData>
  <sheetProtection sheet="1"/>
  <printOptions/>
  <pageMargins left="0.7" right="0.7" top="0.75" bottom="0.75" header="0.3" footer="0.3"/>
  <pageSetup orientation="portrait" paperSize="9"/>
  <ignoredErrors>
    <ignoredError sqref="C64:C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X94"/>
  <sheetViews>
    <sheetView showGridLines="0" zoomScalePageLayoutView="0" workbookViewId="0" topLeftCell="A28">
      <selection activeCell="M34" sqref="M34"/>
    </sheetView>
  </sheetViews>
  <sheetFormatPr defaultColWidth="9.140625" defaultRowHeight="12.75"/>
  <cols>
    <col min="1" max="1" width="18.00390625" style="124" bestFit="1" customWidth="1"/>
    <col min="2" max="7" width="6.57421875" style="124" customWidth="1"/>
    <col min="8" max="8" width="9.140625" style="124" customWidth="1"/>
    <col min="9" max="10" width="4.57421875" style="124" bestFit="1" customWidth="1"/>
    <col min="11" max="11" width="4.00390625" style="124" bestFit="1" customWidth="1"/>
    <col min="12" max="12" width="9.140625" style="124" customWidth="1"/>
    <col min="13" max="13" width="4.00390625" style="124" bestFit="1" customWidth="1"/>
    <col min="14" max="15" width="9.140625" style="124" customWidth="1"/>
    <col min="16" max="16" width="9.421875" style="124" bestFit="1" customWidth="1"/>
    <col min="17" max="17" width="10.140625" style="124" customWidth="1"/>
    <col min="18" max="19" width="4.00390625" style="124" bestFit="1" customWidth="1"/>
    <col min="20" max="20" width="9.140625" style="124" customWidth="1"/>
    <col min="21" max="22" width="10.00390625" style="124" bestFit="1" customWidth="1"/>
    <col min="23" max="16384" width="9.140625" style="124" customWidth="1"/>
  </cols>
  <sheetData>
    <row r="1" spans="3:22" ht="11.25">
      <c r="C1" s="197">
        <v>0</v>
      </c>
      <c r="D1" s="167">
        <v>0</v>
      </c>
      <c r="P1" s="124" t="s">
        <v>42</v>
      </c>
      <c r="V1" s="215"/>
    </row>
    <row r="2" spans="18:19" ht="11.25">
      <c r="R2" s="122">
        <f>MIN(C4:D88)-5</f>
        <v>-5</v>
      </c>
      <c r="S2" s="122">
        <f>R2</f>
        <v>-5</v>
      </c>
    </row>
    <row r="3" spans="1:24" ht="11.25">
      <c r="A3" s="2" t="s">
        <v>155</v>
      </c>
      <c r="C3" s="216"/>
      <c r="D3" s="216"/>
      <c r="E3" s="216"/>
      <c r="F3" s="216"/>
      <c r="R3" s="122">
        <f>R2</f>
        <v>-5</v>
      </c>
      <c r="S3" s="122">
        <f>MAX(C:D)</f>
        <v>80</v>
      </c>
      <c r="T3" s="216"/>
      <c r="U3" s="216"/>
      <c r="V3" s="216"/>
      <c r="W3" s="216"/>
      <c r="X3" s="216"/>
    </row>
    <row r="4" spans="1:24" ht="11.25">
      <c r="A4" s="124" t="s">
        <v>37</v>
      </c>
      <c r="B4" s="124" t="str">
        <f>Design!$H$18</f>
        <v>x</v>
      </c>
      <c r="C4" s="167">
        <f>C5+C1</f>
        <v>23.637209302325584</v>
      </c>
      <c r="D4" s="167">
        <f>D5+Driver_FrameW/2</f>
        <v>67.1</v>
      </c>
      <c r="F4" s="167">
        <f aca="true" t="shared" si="0" ref="F4:F9">IF(B4="x",C4,0)</f>
        <v>23.637209302325584</v>
      </c>
      <c r="G4" s="167">
        <f aca="true" t="shared" si="1" ref="G4:G9">IF(B4="x",D4,0)</f>
        <v>67.1</v>
      </c>
      <c r="P4" s="123"/>
      <c r="T4" s="167"/>
      <c r="U4" s="216"/>
      <c r="V4" s="216"/>
      <c r="W4" s="216"/>
      <c r="X4" s="216"/>
    </row>
    <row r="5" spans="2:24" ht="11.25">
      <c r="B5" s="124" t="str">
        <f>Design!$H$18</f>
        <v>x</v>
      </c>
      <c r="C5" s="167">
        <f>C73</f>
        <v>23.637209302325584</v>
      </c>
      <c r="D5" s="167">
        <f>D73-Driver_Offset-Driver_FrameW/2</f>
        <v>51.199999999999996</v>
      </c>
      <c r="F5" s="167">
        <f t="shared" si="0"/>
        <v>23.637209302325584</v>
      </c>
      <c r="G5" s="167">
        <f t="shared" si="1"/>
        <v>51.199999999999996</v>
      </c>
      <c r="P5" s="122"/>
      <c r="R5" s="122">
        <f>R2</f>
        <v>-5</v>
      </c>
      <c r="S5" s="122">
        <f>R5</f>
        <v>-5</v>
      </c>
      <c r="T5" s="167"/>
      <c r="U5" s="167"/>
      <c r="V5" s="167"/>
      <c r="W5" s="167"/>
      <c r="X5" s="197"/>
    </row>
    <row r="6" spans="2:24" ht="11.25">
      <c r="B6" s="124" t="str">
        <f>Design!$H$18</f>
        <v>x</v>
      </c>
      <c r="C6" s="167">
        <f>C5-Driver_RearMountingD</f>
        <v>10.937209302325584</v>
      </c>
      <c r="D6" s="167">
        <f>D5</f>
        <v>51.199999999999996</v>
      </c>
      <c r="F6" s="167">
        <f t="shared" si="0"/>
        <v>10.937209302325584</v>
      </c>
      <c r="G6" s="167">
        <f t="shared" si="1"/>
        <v>51.199999999999996</v>
      </c>
      <c r="P6" s="122"/>
      <c r="R6" s="122">
        <f>S3</f>
        <v>80</v>
      </c>
      <c r="S6" s="122">
        <f>S5</f>
        <v>-5</v>
      </c>
      <c r="T6" s="167"/>
      <c r="U6" s="216"/>
      <c r="V6" s="216"/>
      <c r="W6" s="216"/>
      <c r="X6" s="216"/>
    </row>
    <row r="7" spans="2:24" ht="11.25">
      <c r="B7" s="124" t="str">
        <f>Design!$H$18</f>
        <v>x</v>
      </c>
      <c r="C7" s="167">
        <f>C6</f>
        <v>10.937209302325584</v>
      </c>
      <c r="D7" s="167">
        <f>D6+Driver_MagnetW/2</f>
        <v>60.699999999999996</v>
      </c>
      <c r="F7" s="167">
        <f t="shared" si="0"/>
        <v>10.937209302325584</v>
      </c>
      <c r="G7" s="167">
        <f t="shared" si="1"/>
        <v>60.699999999999996</v>
      </c>
      <c r="U7" s="216"/>
      <c r="V7" s="216"/>
      <c r="W7" s="167"/>
      <c r="X7" s="216"/>
    </row>
    <row r="8" spans="2:24" ht="11.25">
      <c r="B8" s="124" t="str">
        <f>Design!$H$18</f>
        <v>x</v>
      </c>
      <c r="C8" s="167">
        <f>C7+Driver_MagnetH</f>
        <v>16.017209302325583</v>
      </c>
      <c r="D8" s="167">
        <f>D7</f>
        <v>60.699999999999996</v>
      </c>
      <c r="F8" s="167">
        <f t="shared" si="0"/>
        <v>16.017209302325583</v>
      </c>
      <c r="G8" s="167">
        <f t="shared" si="1"/>
        <v>60.699999999999996</v>
      </c>
      <c r="W8" s="167"/>
      <c r="X8" s="216"/>
    </row>
    <row r="9" spans="2:24" ht="11.25">
      <c r="B9" s="124" t="str">
        <f>Design!$H$18</f>
        <v>x</v>
      </c>
      <c r="C9" s="167">
        <f>C5</f>
        <v>23.637209302325584</v>
      </c>
      <c r="D9" s="167">
        <f>D5+Driver_MountingW/2</f>
        <v>65.14999999999999</v>
      </c>
      <c r="F9" s="167">
        <f t="shared" si="0"/>
        <v>23.637209302325584</v>
      </c>
      <c r="G9" s="167">
        <f t="shared" si="1"/>
        <v>65.14999999999999</v>
      </c>
      <c r="W9" s="167"/>
      <c r="X9" s="216"/>
    </row>
    <row r="10" spans="3:24" ht="11.25">
      <c r="C10" s="167"/>
      <c r="D10" s="216"/>
      <c r="F10" s="167"/>
      <c r="G10" s="167"/>
      <c r="W10" s="167"/>
      <c r="X10" s="216"/>
    </row>
    <row r="11" spans="2:24" ht="11.25">
      <c r="B11" s="124" t="str">
        <f>Design!$H$18</f>
        <v>x</v>
      </c>
      <c r="C11" s="167">
        <f>C12</f>
        <v>23.637209302325584</v>
      </c>
      <c r="D11" s="167">
        <f>D12-Driver_FrameW/2</f>
        <v>35.3</v>
      </c>
      <c r="F11" s="167">
        <f aca="true" t="shared" si="2" ref="F11:F16">IF(B11="x",C11,0)</f>
        <v>23.637209302325584</v>
      </c>
      <c r="G11" s="167">
        <f aca="true" t="shared" si="3" ref="G11:G16">IF(B11="x",D11,0)</f>
        <v>35.3</v>
      </c>
      <c r="W11" s="167"/>
      <c r="X11" s="216"/>
    </row>
    <row r="12" spans="2:24" ht="11.25">
      <c r="B12" s="124" t="str">
        <f>Design!$H$18</f>
        <v>x</v>
      </c>
      <c r="C12" s="167">
        <f>C5</f>
        <v>23.637209302325584</v>
      </c>
      <c r="D12" s="167">
        <f>D5</f>
        <v>51.199999999999996</v>
      </c>
      <c r="F12" s="167">
        <f t="shared" si="2"/>
        <v>23.637209302325584</v>
      </c>
      <c r="G12" s="167">
        <f t="shared" si="3"/>
        <v>51.199999999999996</v>
      </c>
      <c r="W12" s="216"/>
      <c r="X12" s="216"/>
    </row>
    <row r="13" spans="2:24" ht="11.25">
      <c r="B13" s="124" t="str">
        <f>Design!$H$18</f>
        <v>x</v>
      </c>
      <c r="C13" s="167">
        <f>C6</f>
        <v>10.937209302325584</v>
      </c>
      <c r="D13" s="167">
        <f>D6</f>
        <v>51.199999999999996</v>
      </c>
      <c r="F13" s="167">
        <f t="shared" si="2"/>
        <v>10.937209302325584</v>
      </c>
      <c r="G13" s="167">
        <f t="shared" si="3"/>
        <v>51.199999999999996</v>
      </c>
      <c r="W13" s="167"/>
      <c r="X13" s="216"/>
    </row>
    <row r="14" spans="2:24" ht="11.25">
      <c r="B14" s="124" t="str">
        <f>Design!$H$18</f>
        <v>x</v>
      </c>
      <c r="C14" s="167">
        <f>C13</f>
        <v>10.937209302325584</v>
      </c>
      <c r="D14" s="167">
        <f>D13-Driver_MagnetW/2</f>
        <v>41.699999999999996</v>
      </c>
      <c r="F14" s="167">
        <f t="shared" si="2"/>
        <v>10.937209302325584</v>
      </c>
      <c r="G14" s="167">
        <f t="shared" si="3"/>
        <v>41.699999999999996</v>
      </c>
      <c r="W14" s="167"/>
      <c r="X14" s="216"/>
    </row>
    <row r="15" spans="2:24" ht="11.25">
      <c r="B15" s="124" t="str">
        <f>Design!$H$18</f>
        <v>x</v>
      </c>
      <c r="C15" s="167">
        <f>C14+Driver_MagnetH</f>
        <v>16.017209302325583</v>
      </c>
      <c r="D15" s="167">
        <f>D14</f>
        <v>41.699999999999996</v>
      </c>
      <c r="F15" s="167">
        <f t="shared" si="2"/>
        <v>16.017209302325583</v>
      </c>
      <c r="G15" s="167">
        <f t="shared" si="3"/>
        <v>41.699999999999996</v>
      </c>
      <c r="W15" s="167"/>
      <c r="X15" s="216"/>
    </row>
    <row r="16" spans="2:24" ht="11.25">
      <c r="B16" s="124" t="str">
        <f>Design!$H$18</f>
        <v>x</v>
      </c>
      <c r="C16" s="167">
        <f>C12</f>
        <v>23.637209302325584</v>
      </c>
      <c r="D16" s="167">
        <f>D12-Driver_MountingW/2</f>
        <v>37.25</v>
      </c>
      <c r="F16" s="167">
        <f t="shared" si="2"/>
        <v>23.637209302325584</v>
      </c>
      <c r="G16" s="167">
        <f t="shared" si="3"/>
        <v>37.25</v>
      </c>
      <c r="W16" s="167"/>
      <c r="X16" s="216"/>
    </row>
    <row r="17" spans="3:24" ht="11.25">
      <c r="C17" s="167"/>
      <c r="D17" s="216"/>
      <c r="F17" s="167"/>
      <c r="G17" s="167"/>
      <c r="W17" s="167"/>
      <c r="X17" s="216"/>
    </row>
    <row r="18" spans="2:24" ht="11.25">
      <c r="B18" s="124" t="str">
        <f>Design!$H$18</f>
        <v>x</v>
      </c>
      <c r="C18" s="167">
        <f>C15</f>
        <v>16.017209302325583</v>
      </c>
      <c r="D18" s="167">
        <f>D15</f>
        <v>41.699999999999996</v>
      </c>
      <c r="F18" s="167">
        <f>IF(B18="x",C18,0)</f>
        <v>16.017209302325583</v>
      </c>
      <c r="G18" s="167">
        <f>IF(B18="x",D18,0)</f>
        <v>41.699999999999996</v>
      </c>
      <c r="W18" s="167"/>
      <c r="X18" s="216"/>
    </row>
    <row r="19" spans="2:24" ht="11.25">
      <c r="B19" s="124" t="str">
        <f>Design!$H$18</f>
        <v>x</v>
      </c>
      <c r="C19" s="167">
        <f>C8</f>
        <v>16.017209302325583</v>
      </c>
      <c r="D19" s="167">
        <f>D8</f>
        <v>60.699999999999996</v>
      </c>
      <c r="F19" s="167">
        <f>IF(B19="x",C19,0)</f>
        <v>16.017209302325583</v>
      </c>
      <c r="G19" s="167">
        <f>IF(B19="x",D19,0)</f>
        <v>60.699999999999996</v>
      </c>
      <c r="W19" s="216"/>
      <c r="X19" s="216"/>
    </row>
    <row r="20" spans="6:24" ht="11.25">
      <c r="W20" s="216"/>
      <c r="X20" s="216"/>
    </row>
    <row r="21" spans="1:24" ht="11.25">
      <c r="A21" s="2" t="s">
        <v>156</v>
      </c>
      <c r="C21" s="216"/>
      <c r="D21" s="216"/>
      <c r="E21" s="216"/>
      <c r="F21" s="216"/>
      <c r="W21" s="216"/>
      <c r="X21" s="216"/>
    </row>
    <row r="22" spans="1:24" ht="11.25">
      <c r="A22" s="124" t="s">
        <v>37</v>
      </c>
      <c r="B22" s="124" t="str">
        <f>Design!$H$18</f>
        <v>x</v>
      </c>
      <c r="C22" s="167">
        <f aca="true" t="shared" si="4" ref="C22:C27">C4</f>
        <v>23.637209302325584</v>
      </c>
      <c r="D22" s="167">
        <f aca="true" t="shared" si="5" ref="D22:D27">IF(numDrivers&lt;&gt;"1",D4-Driver_FrameW-p,D4)</f>
        <v>67.1</v>
      </c>
      <c r="F22" s="167">
        <f aca="true" t="shared" si="6" ref="F22:F27">IF(B22="x",C22,0)</f>
        <v>23.637209302325584</v>
      </c>
      <c r="G22" s="167">
        <f aca="true" t="shared" si="7" ref="G22:G27">IF(B22="x",D22,0)</f>
        <v>67.1</v>
      </c>
      <c r="W22" s="216"/>
      <c r="X22" s="216"/>
    </row>
    <row r="23" spans="2:24" ht="11.25">
      <c r="B23" s="124" t="str">
        <f>Design!$H$18</f>
        <v>x</v>
      </c>
      <c r="C23" s="167">
        <f t="shared" si="4"/>
        <v>23.637209302325584</v>
      </c>
      <c r="D23" s="167">
        <f t="shared" si="5"/>
        <v>51.199999999999996</v>
      </c>
      <c r="F23" s="167">
        <f t="shared" si="6"/>
        <v>23.637209302325584</v>
      </c>
      <c r="G23" s="167">
        <f t="shared" si="7"/>
        <v>51.199999999999996</v>
      </c>
      <c r="W23" s="216"/>
      <c r="X23" s="216"/>
    </row>
    <row r="24" spans="2:24" ht="11.25">
      <c r="B24" s="124" t="str">
        <f>Design!$H$18</f>
        <v>x</v>
      </c>
      <c r="C24" s="167">
        <f t="shared" si="4"/>
        <v>10.937209302325584</v>
      </c>
      <c r="D24" s="167">
        <f t="shared" si="5"/>
        <v>51.199999999999996</v>
      </c>
      <c r="F24" s="167">
        <f t="shared" si="6"/>
        <v>10.937209302325584</v>
      </c>
      <c r="G24" s="167">
        <f t="shared" si="7"/>
        <v>51.199999999999996</v>
      </c>
      <c r="W24" s="216"/>
      <c r="X24" s="216"/>
    </row>
    <row r="25" spans="2:7" ht="11.25">
      <c r="B25" s="124" t="str">
        <f>Design!$H$18</f>
        <v>x</v>
      </c>
      <c r="C25" s="167">
        <f t="shared" si="4"/>
        <v>10.937209302325584</v>
      </c>
      <c r="D25" s="167">
        <f t="shared" si="5"/>
        <v>60.699999999999996</v>
      </c>
      <c r="F25" s="167">
        <f t="shared" si="6"/>
        <v>10.937209302325584</v>
      </c>
      <c r="G25" s="167">
        <f t="shared" si="7"/>
        <v>60.699999999999996</v>
      </c>
    </row>
    <row r="26" spans="2:7" ht="11.25">
      <c r="B26" s="124" t="str">
        <f>Design!$H$18</f>
        <v>x</v>
      </c>
      <c r="C26" s="167">
        <f t="shared" si="4"/>
        <v>16.017209302325583</v>
      </c>
      <c r="D26" s="167">
        <f t="shared" si="5"/>
        <v>60.699999999999996</v>
      </c>
      <c r="F26" s="167">
        <f t="shared" si="6"/>
        <v>16.017209302325583</v>
      </c>
      <c r="G26" s="167">
        <f t="shared" si="7"/>
        <v>60.699999999999996</v>
      </c>
    </row>
    <row r="27" spans="2:7" ht="11.25">
      <c r="B27" s="124" t="str">
        <f>Design!$H$18</f>
        <v>x</v>
      </c>
      <c r="C27" s="167">
        <f t="shared" si="4"/>
        <v>23.637209302325584</v>
      </c>
      <c r="D27" s="167">
        <f t="shared" si="5"/>
        <v>65.14999999999999</v>
      </c>
      <c r="F27" s="167">
        <f t="shared" si="6"/>
        <v>23.637209302325584</v>
      </c>
      <c r="G27" s="167">
        <f t="shared" si="7"/>
        <v>65.14999999999999</v>
      </c>
    </row>
    <row r="28" spans="3:7" ht="11.25">
      <c r="C28" s="167"/>
      <c r="D28" s="216"/>
      <c r="F28" s="167"/>
      <c r="G28" s="167"/>
    </row>
    <row r="29" spans="2:7" ht="11.25">
      <c r="B29" s="124" t="str">
        <f>Design!$H$18</f>
        <v>x</v>
      </c>
      <c r="C29" s="167">
        <f aca="true" t="shared" si="8" ref="C29:C34">C11</f>
        <v>23.637209302325584</v>
      </c>
      <c r="D29" s="167">
        <f aca="true" t="shared" si="9" ref="D29:D34">IF(numDrivers&lt;&gt;"1",D11-Driver_FrameW-p,D11)</f>
        <v>35.3</v>
      </c>
      <c r="F29" s="167">
        <f aca="true" t="shared" si="10" ref="F29:F34">IF(B29="x",C29,0)</f>
        <v>23.637209302325584</v>
      </c>
      <c r="G29" s="167">
        <f aca="true" t="shared" si="11" ref="G29:G34">IF(B29="x",D29,0)</f>
        <v>35.3</v>
      </c>
    </row>
    <row r="30" spans="2:7" ht="11.25">
      <c r="B30" s="124" t="str">
        <f>Design!$H$18</f>
        <v>x</v>
      </c>
      <c r="C30" s="167">
        <f t="shared" si="8"/>
        <v>23.637209302325584</v>
      </c>
      <c r="D30" s="167">
        <f t="shared" si="9"/>
        <v>51.199999999999996</v>
      </c>
      <c r="F30" s="167">
        <f t="shared" si="10"/>
        <v>23.637209302325584</v>
      </c>
      <c r="G30" s="167">
        <f t="shared" si="11"/>
        <v>51.199999999999996</v>
      </c>
    </row>
    <row r="31" spans="2:7" ht="11.25">
      <c r="B31" s="124" t="str">
        <f>Design!$H$18</f>
        <v>x</v>
      </c>
      <c r="C31" s="167">
        <f t="shared" si="8"/>
        <v>10.937209302325584</v>
      </c>
      <c r="D31" s="167">
        <f t="shared" si="9"/>
        <v>51.199999999999996</v>
      </c>
      <c r="F31" s="167">
        <f t="shared" si="10"/>
        <v>10.937209302325584</v>
      </c>
      <c r="G31" s="167">
        <f t="shared" si="11"/>
        <v>51.199999999999996</v>
      </c>
    </row>
    <row r="32" spans="2:7" ht="11.25">
      <c r="B32" s="124" t="str">
        <f>Design!$H$18</f>
        <v>x</v>
      </c>
      <c r="C32" s="167">
        <f t="shared" si="8"/>
        <v>10.937209302325584</v>
      </c>
      <c r="D32" s="167">
        <f t="shared" si="9"/>
        <v>41.699999999999996</v>
      </c>
      <c r="F32" s="167">
        <f t="shared" si="10"/>
        <v>10.937209302325584</v>
      </c>
      <c r="G32" s="167">
        <f t="shared" si="11"/>
        <v>41.699999999999996</v>
      </c>
    </row>
    <row r="33" spans="2:13" ht="11.25">
      <c r="B33" s="124" t="str">
        <f>Design!$H$18</f>
        <v>x</v>
      </c>
      <c r="C33" s="167">
        <f t="shared" si="8"/>
        <v>16.017209302325583</v>
      </c>
      <c r="D33" s="167">
        <f t="shared" si="9"/>
        <v>41.699999999999996</v>
      </c>
      <c r="F33" s="167">
        <f t="shared" si="10"/>
        <v>16.017209302325583</v>
      </c>
      <c r="G33" s="167">
        <f t="shared" si="11"/>
        <v>41.699999999999996</v>
      </c>
      <c r="M33" s="124">
        <f>p*5</f>
        <v>9.5</v>
      </c>
    </row>
    <row r="34" spans="2:13" ht="11.25">
      <c r="B34" s="124" t="str">
        <f>Design!$H$18</f>
        <v>x</v>
      </c>
      <c r="C34" s="167">
        <f t="shared" si="8"/>
        <v>23.637209302325584</v>
      </c>
      <c r="D34" s="167">
        <f t="shared" si="9"/>
        <v>37.25</v>
      </c>
      <c r="F34" s="167">
        <f t="shared" si="10"/>
        <v>23.637209302325584</v>
      </c>
      <c r="G34" s="167">
        <f t="shared" si="11"/>
        <v>37.25</v>
      </c>
      <c r="L34" s="124" t="s">
        <v>9</v>
      </c>
      <c r="M34" s="124">
        <f>B42+B48+B72+B84+B90</f>
        <v>8.1</v>
      </c>
    </row>
    <row r="35" spans="3:13" ht="11.25">
      <c r="C35" s="167"/>
      <c r="D35" s="216"/>
      <c r="F35" s="167"/>
      <c r="G35" s="167"/>
      <c r="L35" s="124" t="s">
        <v>180</v>
      </c>
      <c r="M35" s="124">
        <f>Alt_Config</f>
        <v>3</v>
      </c>
    </row>
    <row r="36" spans="2:13" ht="11.25">
      <c r="B36" s="124" t="str">
        <f>Design!$H$18</f>
        <v>x</v>
      </c>
      <c r="C36" s="167">
        <f>C18</f>
        <v>16.017209302325583</v>
      </c>
      <c r="D36" s="167">
        <f>IF(numDrivers&lt;&gt;"1",D18-Driver_FrameW-p,D18)</f>
        <v>41.699999999999996</v>
      </c>
      <c r="F36" s="167">
        <f>IF(B36="x",C36,0)</f>
        <v>16.017209302325583</v>
      </c>
      <c r="G36" s="167">
        <f>IF(B36="x",D36,0)</f>
        <v>41.699999999999996</v>
      </c>
      <c r="L36" s="124" t="s">
        <v>177</v>
      </c>
      <c r="M36" s="122">
        <f>IF(OR(Alt_Config=1,Alt_Config=3,),Ap_Ratio,1)</f>
        <v>1.3</v>
      </c>
    </row>
    <row r="37" spans="2:13" ht="11.25">
      <c r="B37" s="124" t="str">
        <f>Design!$H$18</f>
        <v>x</v>
      </c>
      <c r="C37" s="167">
        <f>C19</f>
        <v>16.017209302325583</v>
      </c>
      <c r="D37" s="167">
        <f>IF(numDrivers&lt;&gt;"1",D19-Driver_FrameW-p,D19)</f>
        <v>60.699999999999996</v>
      </c>
      <c r="F37" s="167">
        <f>IF(B37="x",C37,0)</f>
        <v>16.017209302325583</v>
      </c>
      <c r="G37" s="167">
        <f>IF(B37="x",D37,0)</f>
        <v>60.699999999999996</v>
      </c>
      <c r="L37" s="124" t="s">
        <v>176</v>
      </c>
      <c r="M37" s="122">
        <f>(H-M34)/(3+Ap_Ratio)</f>
        <v>16.720930232558143</v>
      </c>
    </row>
    <row r="38" spans="12:20" ht="11.25">
      <c r="L38" s="124" t="s">
        <v>178</v>
      </c>
      <c r="M38" s="122">
        <f>M37*M36</f>
        <v>21.737209302325585</v>
      </c>
      <c r="S38" s="122"/>
      <c r="T38" s="122"/>
    </row>
    <row r="39" spans="3:20" ht="11.25">
      <c r="C39" s="167">
        <f>SUM(C5+C23)/2</f>
        <v>23.637209302325584</v>
      </c>
      <c r="D39" s="167">
        <f>SUM(D5+D23)/2</f>
        <v>51.199999999999996</v>
      </c>
      <c r="S39" s="122"/>
      <c r="T39" s="122"/>
    </row>
    <row r="40" spans="3:20" ht="11.25">
      <c r="C40" s="197"/>
      <c r="D40" s="197"/>
      <c r="S40" s="122"/>
      <c r="T40" s="122"/>
    </row>
    <row r="41" spans="3:13" ht="11.25">
      <c r="C41" s="4" t="s">
        <v>5</v>
      </c>
      <c r="D41" s="4" t="s">
        <v>6</v>
      </c>
      <c r="E41" s="4"/>
      <c r="F41" s="4" t="s">
        <v>5</v>
      </c>
      <c r="G41" s="4" t="s">
        <v>6</v>
      </c>
      <c r="H41" s="4"/>
      <c r="I41" s="4" t="s">
        <v>33</v>
      </c>
      <c r="J41" s="4" t="s">
        <v>34</v>
      </c>
      <c r="K41" s="4"/>
      <c r="L41" s="4" t="s">
        <v>3</v>
      </c>
      <c r="M41" s="4" t="s">
        <v>4</v>
      </c>
    </row>
    <row r="42" spans="1:13" ht="11.25">
      <c r="A42" s="198" t="str">
        <f>Design!I5</f>
        <v>Panel A (front)</v>
      </c>
      <c r="B42" s="199">
        <f>VLOOKUP(A42,Design!$B$35:$D$43,3,FALSE)</f>
        <v>1.9</v>
      </c>
      <c r="C42" s="200">
        <v>0</v>
      </c>
      <c r="D42" s="200">
        <f>D55</f>
        <v>72</v>
      </c>
      <c r="E42" s="201" t="str">
        <f>A43</f>
        <v>x</v>
      </c>
      <c r="F42" s="200">
        <f>IF(E42="x",C42,Design!$D$151)</f>
        <v>0</v>
      </c>
      <c r="G42" s="200">
        <f>IF(E42="x",D42,Design!$D$152)</f>
        <v>72</v>
      </c>
      <c r="H42" s="201"/>
      <c r="I42" s="200"/>
      <c r="J42" s="200"/>
      <c r="K42" s="201"/>
      <c r="L42" s="202"/>
      <c r="M42" s="203"/>
    </row>
    <row r="43" spans="1:13" ht="11.25">
      <c r="A43" s="204" t="str">
        <f>VLOOKUP(A42,Design!$B$34:$F$43,2,FALSE)</f>
        <v>x</v>
      </c>
      <c r="B43" s="205">
        <f>B42</f>
        <v>1.9</v>
      </c>
      <c r="C43" s="206">
        <f>C42</f>
        <v>0</v>
      </c>
      <c r="D43" s="206">
        <f>IF(Alt_Config=1,D56,M38+B43)</f>
        <v>23.637209302325584</v>
      </c>
      <c r="E43" s="207" t="str">
        <f>E42</f>
        <v>x</v>
      </c>
      <c r="F43" s="206">
        <f>IF(E43="x",C43,Design!$D$151)</f>
        <v>0</v>
      </c>
      <c r="G43" s="206">
        <f>IF(E43="x",D43,Design!$D$152)</f>
        <v>23.637209302325584</v>
      </c>
      <c r="H43" s="207"/>
      <c r="I43" s="208">
        <f aca="true" t="shared" si="12" ref="I43:J46">C42-C43</f>
        <v>0</v>
      </c>
      <c r="J43" s="208">
        <f t="shared" si="12"/>
        <v>48.36279069767441</v>
      </c>
      <c r="K43" s="208">
        <f>(I43^2+J43^2)^0.5</f>
        <v>48.36279069767441</v>
      </c>
      <c r="L43" s="208"/>
      <c r="M43" s="209"/>
    </row>
    <row r="44" spans="1:13" ht="11.25">
      <c r="A44" s="204"/>
      <c r="B44" s="205">
        <f>B43</f>
        <v>1.9</v>
      </c>
      <c r="C44" s="206">
        <f>C43+B44</f>
        <v>1.9</v>
      </c>
      <c r="D44" s="206">
        <f>D43</f>
        <v>23.637209302325584</v>
      </c>
      <c r="E44" s="207" t="str">
        <f>E43</f>
        <v>x</v>
      </c>
      <c r="F44" s="206">
        <f>IF(E44="x",C44,Design!$D$151)</f>
        <v>1.9</v>
      </c>
      <c r="G44" s="206">
        <f>IF(E44="x",D44,Design!$D$152)</f>
        <v>23.637209302325584</v>
      </c>
      <c r="H44" s="207"/>
      <c r="I44" s="208">
        <f t="shared" si="12"/>
        <v>-1.9</v>
      </c>
      <c r="J44" s="208">
        <f t="shared" si="12"/>
        <v>0</v>
      </c>
      <c r="K44" s="208">
        <f>(I44^2+J44^2)^0.5</f>
        <v>1.9</v>
      </c>
      <c r="L44" s="208"/>
      <c r="M44" s="209"/>
    </row>
    <row r="45" spans="1:13" ht="11.25">
      <c r="A45" s="204"/>
      <c r="B45" s="205">
        <f>B44</f>
        <v>1.9</v>
      </c>
      <c r="C45" s="206">
        <f>C44</f>
        <v>1.9</v>
      </c>
      <c r="D45" s="206">
        <f>D42</f>
        <v>72</v>
      </c>
      <c r="E45" s="207" t="str">
        <f>E44</f>
        <v>x</v>
      </c>
      <c r="F45" s="206">
        <f>IF(E45="x",C45,Design!$D$151)</f>
        <v>1.9</v>
      </c>
      <c r="G45" s="206">
        <f>IF(E45="x",D45,Design!$D$152)</f>
        <v>72</v>
      </c>
      <c r="H45" s="207"/>
      <c r="I45" s="208">
        <f t="shared" si="12"/>
        <v>0</v>
      </c>
      <c r="J45" s="208">
        <f t="shared" si="12"/>
        <v>-48.36279069767441</v>
      </c>
      <c r="K45" s="208">
        <f>(I45^2+J45^2)^0.5</f>
        <v>48.36279069767441</v>
      </c>
      <c r="L45" s="208"/>
      <c r="M45" s="209"/>
    </row>
    <row r="46" spans="1:13" ht="11.25">
      <c r="A46" s="210"/>
      <c r="B46" s="211">
        <f>B45</f>
        <v>1.9</v>
      </c>
      <c r="C46" s="212">
        <f>C42</f>
        <v>0</v>
      </c>
      <c r="D46" s="212">
        <f>D42</f>
        <v>72</v>
      </c>
      <c r="E46" s="217" t="str">
        <f>E45</f>
        <v>x</v>
      </c>
      <c r="F46" s="212">
        <f>IF(E46="x",C46,Design!$D$151)</f>
        <v>0</v>
      </c>
      <c r="G46" s="212">
        <f>IF(E46="x",D46,Design!$D$152)</f>
        <v>72</v>
      </c>
      <c r="H46" s="211"/>
      <c r="I46" s="213">
        <f t="shared" si="12"/>
        <v>1.9</v>
      </c>
      <c r="J46" s="213">
        <f t="shared" si="12"/>
        <v>0</v>
      </c>
      <c r="K46" s="213">
        <f>(I46^2+J46^2)^0.5</f>
        <v>1.9</v>
      </c>
      <c r="L46" s="211"/>
      <c r="M46" s="214"/>
    </row>
    <row r="47" spans="3:6" ht="11.25">
      <c r="C47" s="216"/>
    </row>
    <row r="48" spans="1:13" ht="11.25">
      <c r="A48" s="198" t="str">
        <f>Design!I6</f>
        <v>Panel B (back)</v>
      </c>
      <c r="B48" s="199">
        <f>VLOOKUP(A48,Design!$B$35:$D$43,3,FALSE)</f>
        <v>1.9</v>
      </c>
      <c r="C48" s="200">
        <f>C54-B48</f>
        <v>78.1</v>
      </c>
      <c r="D48" s="200">
        <f>D54</f>
        <v>72</v>
      </c>
      <c r="E48" s="201" t="str">
        <f>A49</f>
        <v>x</v>
      </c>
      <c r="F48" s="200">
        <f>IF(E48="x",C48,Design!$D$151)</f>
        <v>78.1</v>
      </c>
      <c r="G48" s="200">
        <f>IF(E48="x",D48,Design!$D$152)</f>
        <v>72</v>
      </c>
      <c r="H48" s="201"/>
      <c r="I48" s="200"/>
      <c r="J48" s="200"/>
      <c r="K48" s="201"/>
      <c r="L48" s="202"/>
      <c r="M48" s="203"/>
    </row>
    <row r="49" spans="1:13" ht="11.25">
      <c r="A49" s="204" t="str">
        <f>VLOOKUP(A48,Design!$B$34:$F$43,2,FALSE)</f>
        <v>x</v>
      </c>
      <c r="B49" s="205">
        <f>B48</f>
        <v>1.9</v>
      </c>
      <c r="C49" s="206">
        <f>C48</f>
        <v>78.1</v>
      </c>
      <c r="D49" s="206">
        <f>D57</f>
        <v>0</v>
      </c>
      <c r="E49" s="207" t="str">
        <f>E48</f>
        <v>x</v>
      </c>
      <c r="F49" s="206">
        <f>IF(E49="x",C49,Design!$D$151)</f>
        <v>78.1</v>
      </c>
      <c r="G49" s="206">
        <f>IF(E49="x",D49,Design!$D$152)</f>
        <v>0</v>
      </c>
      <c r="H49" s="207"/>
      <c r="I49" s="208">
        <f aca="true" t="shared" si="13" ref="I49:J52">C48-C49</f>
        <v>0</v>
      </c>
      <c r="J49" s="208">
        <f t="shared" si="13"/>
        <v>72</v>
      </c>
      <c r="K49" s="208">
        <f>(I49^2+J49^2)^0.5</f>
        <v>72</v>
      </c>
      <c r="L49" s="208"/>
      <c r="M49" s="209"/>
    </row>
    <row r="50" spans="1:13" ht="11.25">
      <c r="A50" s="204"/>
      <c r="B50" s="205">
        <f>B49</f>
        <v>1.9</v>
      </c>
      <c r="C50" s="206">
        <f>C49+B50</f>
        <v>80</v>
      </c>
      <c r="D50" s="206">
        <f>D49</f>
        <v>0</v>
      </c>
      <c r="E50" s="207" t="str">
        <f>E49</f>
        <v>x</v>
      </c>
      <c r="F50" s="206">
        <f>IF(E50="x",C50,Design!$D$151)</f>
        <v>80</v>
      </c>
      <c r="G50" s="206">
        <f>IF(E50="x",D50,Design!$D$152)</f>
        <v>0</v>
      </c>
      <c r="H50" s="207"/>
      <c r="I50" s="208">
        <f t="shared" si="13"/>
        <v>-1.9000000000000057</v>
      </c>
      <c r="J50" s="208">
        <f t="shared" si="13"/>
        <v>0</v>
      </c>
      <c r="K50" s="208">
        <f>(I50^2+J50^2)^0.5</f>
        <v>1.9000000000000057</v>
      </c>
      <c r="L50" s="208"/>
      <c r="M50" s="209"/>
    </row>
    <row r="51" spans="1:13" ht="11.25">
      <c r="A51" s="204"/>
      <c r="B51" s="205">
        <f>B50</f>
        <v>1.9</v>
      </c>
      <c r="C51" s="206">
        <f>C50</f>
        <v>80</v>
      </c>
      <c r="D51" s="206">
        <f>D48</f>
        <v>72</v>
      </c>
      <c r="E51" s="207" t="str">
        <f>E50</f>
        <v>x</v>
      </c>
      <c r="F51" s="206">
        <f>IF(E51="x",C51,Design!$D$151)</f>
        <v>80</v>
      </c>
      <c r="G51" s="206">
        <f>IF(E51="x",D51,Design!$D$152)</f>
        <v>72</v>
      </c>
      <c r="H51" s="207"/>
      <c r="I51" s="208">
        <f t="shared" si="13"/>
        <v>0</v>
      </c>
      <c r="J51" s="208">
        <f t="shared" si="13"/>
        <v>-72</v>
      </c>
      <c r="K51" s="208">
        <f>(I51^2+J51^2)^0.5</f>
        <v>72</v>
      </c>
      <c r="L51" s="208"/>
      <c r="M51" s="209"/>
    </row>
    <row r="52" spans="1:13" ht="11.25">
      <c r="A52" s="210"/>
      <c r="B52" s="211">
        <f>B51</f>
        <v>1.9</v>
      </c>
      <c r="C52" s="212">
        <f>C48</f>
        <v>78.1</v>
      </c>
      <c r="D52" s="212">
        <f>D48</f>
        <v>72</v>
      </c>
      <c r="E52" s="217" t="str">
        <f>E51</f>
        <v>x</v>
      </c>
      <c r="F52" s="212">
        <f>IF(E52="x",C52,Design!$D$151)</f>
        <v>78.1</v>
      </c>
      <c r="G52" s="212">
        <f>IF(E52="x",D52,Design!$D$152)</f>
        <v>72</v>
      </c>
      <c r="H52" s="211"/>
      <c r="I52" s="213">
        <f t="shared" si="13"/>
        <v>1.9000000000000057</v>
      </c>
      <c r="J52" s="213">
        <f t="shared" si="13"/>
        <v>0</v>
      </c>
      <c r="K52" s="213">
        <f>(I52^2+J52^2)^0.5</f>
        <v>1.9000000000000057</v>
      </c>
      <c r="L52" s="211"/>
      <c r="M52" s="214"/>
    </row>
    <row r="53" ht="11.25"/>
    <row r="54" spans="1:13" ht="11.25">
      <c r="A54" s="198" t="str">
        <f>Design!I8</f>
        <v>Panel D (sides)</v>
      </c>
      <c r="B54" s="199">
        <f>VLOOKUP(A54,Design!$B$35:$D$43,3,FALSE)</f>
        <v>1.9</v>
      </c>
      <c r="C54" s="200">
        <f>Design!D13+C55</f>
        <v>80</v>
      </c>
      <c r="D54" s="200">
        <f>Design!D11+D56</f>
        <v>72</v>
      </c>
      <c r="E54" s="201" t="str">
        <f>A55</f>
        <v>x</v>
      </c>
      <c r="F54" s="200">
        <f>IF(E54="x",C54,Design!$D$151)</f>
        <v>80</v>
      </c>
      <c r="G54" s="200">
        <f>IF(E54="x",D54,Design!$D$152)</f>
        <v>72</v>
      </c>
      <c r="H54" s="201"/>
      <c r="I54" s="202"/>
      <c r="J54" s="202"/>
      <c r="K54" s="202"/>
      <c r="L54" s="202"/>
      <c r="M54" s="203"/>
    </row>
    <row r="55" spans="1:13" ht="11.25">
      <c r="A55" s="204" t="str">
        <f>VLOOKUP(A54,Design!$B$34:$F$43,2,FALSE)</f>
        <v>x</v>
      </c>
      <c r="B55" s="205">
        <f>B54</f>
        <v>1.9</v>
      </c>
      <c r="C55" s="206">
        <f>C1</f>
        <v>0</v>
      </c>
      <c r="D55" s="206">
        <f>D54</f>
        <v>72</v>
      </c>
      <c r="E55" s="207" t="str">
        <f>E54</f>
        <v>x</v>
      </c>
      <c r="F55" s="206">
        <f>IF(E55="x",C55,Design!$D$151)</f>
        <v>0</v>
      </c>
      <c r="G55" s="206">
        <f>IF(E55="x",D55,Design!$D$152)</f>
        <v>72</v>
      </c>
      <c r="H55" s="207"/>
      <c r="I55" s="208">
        <f aca="true" t="shared" si="14" ref="I55:J58">C54-C55</f>
        <v>80</v>
      </c>
      <c r="J55" s="208">
        <f t="shared" si="14"/>
        <v>0</v>
      </c>
      <c r="K55" s="208">
        <f>(I55^2+J55^2)^0.5</f>
        <v>80</v>
      </c>
      <c r="L55" s="208"/>
      <c r="M55" s="209"/>
    </row>
    <row r="56" spans="1:13" ht="11.25">
      <c r="A56" s="204"/>
      <c r="B56" s="205">
        <f>B55</f>
        <v>1.9</v>
      </c>
      <c r="C56" s="206">
        <f>C55</f>
        <v>0</v>
      </c>
      <c r="D56" s="206">
        <f>D1</f>
        <v>0</v>
      </c>
      <c r="E56" s="207" t="str">
        <f>E55</f>
        <v>x</v>
      </c>
      <c r="F56" s="206">
        <f>IF(E56="x",C56,Design!$D$151)</f>
        <v>0</v>
      </c>
      <c r="G56" s="206">
        <f>IF(E56="x",D56,Design!$D$152)</f>
        <v>0</v>
      </c>
      <c r="H56" s="207"/>
      <c r="I56" s="208">
        <f t="shared" si="14"/>
        <v>0</v>
      </c>
      <c r="J56" s="208">
        <f t="shared" si="14"/>
        <v>72</v>
      </c>
      <c r="K56" s="208">
        <f>(I56^2+J56^2)^0.5</f>
        <v>72</v>
      </c>
      <c r="L56" s="208"/>
      <c r="M56" s="209"/>
    </row>
    <row r="57" spans="1:13" ht="11.25">
      <c r="A57" s="204"/>
      <c r="B57" s="205">
        <f>B56</f>
        <v>1.9</v>
      </c>
      <c r="C57" s="206">
        <f>C54</f>
        <v>80</v>
      </c>
      <c r="D57" s="206">
        <f>D56</f>
        <v>0</v>
      </c>
      <c r="E57" s="207" t="str">
        <f>E56</f>
        <v>x</v>
      </c>
      <c r="F57" s="206">
        <f>IF(E57="x",C57,Design!$D$151)</f>
        <v>80</v>
      </c>
      <c r="G57" s="206">
        <f>IF(E57="x",D57,Design!$D$152)</f>
        <v>0</v>
      </c>
      <c r="H57" s="207"/>
      <c r="I57" s="208">
        <f t="shared" si="14"/>
        <v>-80</v>
      </c>
      <c r="J57" s="208">
        <f t="shared" si="14"/>
        <v>0</v>
      </c>
      <c r="K57" s="208">
        <f>(I57^2+J57^2)^0.5</f>
        <v>80</v>
      </c>
      <c r="L57" s="208"/>
      <c r="M57" s="209"/>
    </row>
    <row r="58" spans="1:13" ht="11.25">
      <c r="A58" s="210"/>
      <c r="B58" s="211">
        <f>B57</f>
        <v>1.9</v>
      </c>
      <c r="C58" s="212">
        <f>C54</f>
        <v>80</v>
      </c>
      <c r="D58" s="212">
        <f>D54</f>
        <v>72</v>
      </c>
      <c r="E58" s="217" t="str">
        <f>E57</f>
        <v>x</v>
      </c>
      <c r="F58" s="212">
        <f>IF(E58="x",C58,Design!$D$151)</f>
        <v>80</v>
      </c>
      <c r="G58" s="212">
        <f>IF(E58="x",D58,Design!$D$152)</f>
        <v>72</v>
      </c>
      <c r="H58" s="211"/>
      <c r="I58" s="213">
        <f t="shared" si="14"/>
        <v>0</v>
      </c>
      <c r="J58" s="213">
        <f t="shared" si="14"/>
        <v>-72</v>
      </c>
      <c r="K58" s="213">
        <f>(I58^2+J58^2)^0.5</f>
        <v>72</v>
      </c>
      <c r="L58" s="211"/>
      <c r="M58" s="214"/>
    </row>
    <row r="59" ht="11.25"/>
    <row r="60" spans="1:13" ht="11.25">
      <c r="A60" s="198" t="str">
        <f>Design!I9</f>
        <v>Panel E (bottom)</v>
      </c>
      <c r="B60" s="199">
        <f>VLOOKUP(A60,Design!$B$35:$D$43,3,FALSE)</f>
        <v>1.9</v>
      </c>
      <c r="C60" s="200">
        <f>IF(Alt_Config=1,C44+M37*Ap_Ratio,D56)</f>
        <v>0</v>
      </c>
      <c r="D60" s="200">
        <f>D56+B60</f>
        <v>1.9</v>
      </c>
      <c r="E60" s="201" t="str">
        <f>A61</f>
        <v>x</v>
      </c>
      <c r="F60" s="200">
        <f>IF(E60="x",C60,Design!$D$151)</f>
        <v>0</v>
      </c>
      <c r="G60" s="200">
        <f>IF(E60="x",D60,Design!$D$152)</f>
        <v>1.9</v>
      </c>
      <c r="H60" s="201"/>
      <c r="I60" s="202"/>
      <c r="J60" s="202"/>
      <c r="K60" s="202"/>
      <c r="L60" s="202"/>
      <c r="M60" s="203"/>
    </row>
    <row r="61" spans="1:13" ht="11.25">
      <c r="A61" s="204" t="str">
        <f>VLOOKUP(A60,Design!$B$34:$F$43,2,FALSE)</f>
        <v>x</v>
      </c>
      <c r="B61" s="205">
        <f>B60</f>
        <v>1.9</v>
      </c>
      <c r="C61" s="206">
        <f>C49</f>
        <v>78.1</v>
      </c>
      <c r="D61" s="206">
        <f>D60</f>
        <v>1.9</v>
      </c>
      <c r="E61" s="207" t="str">
        <f>E60</f>
        <v>x</v>
      </c>
      <c r="F61" s="206">
        <f>IF(E61="x",C61,Design!$D$151)</f>
        <v>78.1</v>
      </c>
      <c r="G61" s="206">
        <f>IF(E61="x",D61,Design!$D$152)</f>
        <v>1.9</v>
      </c>
      <c r="H61" s="207"/>
      <c r="I61" s="208">
        <f aca="true" t="shared" si="15" ref="I61:J64">C60-C61</f>
        <v>-78.1</v>
      </c>
      <c r="J61" s="208">
        <f t="shared" si="15"/>
        <v>0</v>
      </c>
      <c r="K61" s="208">
        <f>(I61^2+J61^2)^0.5</f>
        <v>78.1</v>
      </c>
      <c r="L61" s="208"/>
      <c r="M61" s="209"/>
    </row>
    <row r="62" spans="1:13" ht="11.25">
      <c r="A62" s="204"/>
      <c r="B62" s="205">
        <f>B61</f>
        <v>1.9</v>
      </c>
      <c r="C62" s="206">
        <f>C61</f>
        <v>78.1</v>
      </c>
      <c r="D62" s="206">
        <f>D61-B61</f>
        <v>0</v>
      </c>
      <c r="E62" s="207" t="str">
        <f>E61</f>
        <v>x</v>
      </c>
      <c r="F62" s="206">
        <f>IF(E62="x",C62,Design!$D$151)</f>
        <v>78.1</v>
      </c>
      <c r="G62" s="206">
        <f>IF(E62="x",D62,Design!$D$152)</f>
        <v>0</v>
      </c>
      <c r="H62" s="207"/>
      <c r="I62" s="208">
        <f t="shared" si="15"/>
        <v>0</v>
      </c>
      <c r="J62" s="208">
        <f t="shared" si="15"/>
        <v>1.9</v>
      </c>
      <c r="K62" s="208">
        <f>(I62^2+J62^2)^0.5</f>
        <v>1.9</v>
      </c>
      <c r="L62" s="208"/>
      <c r="M62" s="209"/>
    </row>
    <row r="63" spans="1:13" ht="11.25">
      <c r="A63" s="204"/>
      <c r="B63" s="205">
        <f>B62</f>
        <v>1.9</v>
      </c>
      <c r="C63" s="206">
        <f>C60</f>
        <v>0</v>
      </c>
      <c r="D63" s="206">
        <f>D62</f>
        <v>0</v>
      </c>
      <c r="E63" s="207" t="str">
        <f>E62</f>
        <v>x</v>
      </c>
      <c r="F63" s="206">
        <f>IF(E63="x",C63,Design!$D$151)</f>
        <v>0</v>
      </c>
      <c r="G63" s="206">
        <f>IF(E63="x",D63,Design!$D$152)</f>
        <v>0</v>
      </c>
      <c r="H63" s="207"/>
      <c r="I63" s="208">
        <f t="shared" si="15"/>
        <v>78.1</v>
      </c>
      <c r="J63" s="208">
        <f t="shared" si="15"/>
        <v>0</v>
      </c>
      <c r="K63" s="208">
        <f>(I63^2+J63^2)^0.5</f>
        <v>78.1</v>
      </c>
      <c r="L63" s="208"/>
      <c r="M63" s="209"/>
    </row>
    <row r="64" spans="1:13" ht="11.25">
      <c r="A64" s="210"/>
      <c r="B64" s="211">
        <f>B63</f>
        <v>1.9</v>
      </c>
      <c r="C64" s="212">
        <f>C60</f>
        <v>0</v>
      </c>
      <c r="D64" s="212">
        <f>D60</f>
        <v>1.9</v>
      </c>
      <c r="E64" s="217" t="str">
        <f>E63</f>
        <v>x</v>
      </c>
      <c r="F64" s="212">
        <f>IF(E64="x",C64,Design!$D$151)</f>
        <v>0</v>
      </c>
      <c r="G64" s="212">
        <f>IF(E64="x",D64,Design!$D$152)</f>
        <v>1.9</v>
      </c>
      <c r="H64" s="217"/>
      <c r="I64" s="213">
        <f t="shared" si="15"/>
        <v>0</v>
      </c>
      <c r="J64" s="213">
        <f t="shared" si="15"/>
        <v>-1.9</v>
      </c>
      <c r="K64" s="213">
        <f>(I64^2+J64^2)^0.5</f>
        <v>1.9</v>
      </c>
      <c r="L64" s="211"/>
      <c r="M64" s="214"/>
    </row>
    <row r="65" ht="11.25"/>
    <row r="66" spans="1:13" ht="11.25">
      <c r="A66" s="198" t="str">
        <f>Design!I7</f>
        <v>Panel C (top)</v>
      </c>
      <c r="B66" s="199">
        <f>VLOOKUP(A66,Design!$B$35:$D$43,3,FALSE)</f>
        <v>1.9</v>
      </c>
      <c r="C66" s="200">
        <f>C45</f>
        <v>1.9</v>
      </c>
      <c r="D66" s="200">
        <f>D54</f>
        <v>72</v>
      </c>
      <c r="E66" s="201" t="str">
        <f>A67</f>
        <v>x</v>
      </c>
      <c r="F66" s="200">
        <f>IF(E66="x",C66,Design!$D$151)</f>
        <v>1.9</v>
      </c>
      <c r="G66" s="200">
        <f>IF(E66="x",D66,Design!$D$152)</f>
        <v>72</v>
      </c>
      <c r="H66" s="201"/>
      <c r="I66" s="202"/>
      <c r="J66" s="202"/>
      <c r="K66" s="202"/>
      <c r="L66" s="202"/>
      <c r="M66" s="203"/>
    </row>
    <row r="67" spans="1:13" ht="11.25">
      <c r="A67" s="204" t="str">
        <f>VLOOKUP(A66,Design!$B$34:$F$43,2,FALSE)</f>
        <v>x</v>
      </c>
      <c r="B67" s="205">
        <f>B66</f>
        <v>1.9</v>
      </c>
      <c r="C67" s="206">
        <f>C48</f>
        <v>78.1</v>
      </c>
      <c r="D67" s="206">
        <f>D66</f>
        <v>72</v>
      </c>
      <c r="E67" s="207" t="str">
        <f>E66</f>
        <v>x</v>
      </c>
      <c r="F67" s="206">
        <f>IF(E67="x",C67,Design!$D$151)</f>
        <v>78.1</v>
      </c>
      <c r="G67" s="206">
        <f>IF(E67="x",D67,Design!$D$152)</f>
        <v>72</v>
      </c>
      <c r="H67" s="207"/>
      <c r="I67" s="208">
        <f aca="true" t="shared" si="16" ref="I67:J70">C66-C67</f>
        <v>-76.19999999999999</v>
      </c>
      <c r="J67" s="208">
        <f t="shared" si="16"/>
        <v>0</v>
      </c>
      <c r="K67" s="208">
        <f>(I67^2+J67^2)^0.5</f>
        <v>76.19999999999999</v>
      </c>
      <c r="L67" s="208"/>
      <c r="M67" s="209"/>
    </row>
    <row r="68" spans="1:13" ht="11.25">
      <c r="A68" s="204"/>
      <c r="B68" s="205">
        <f>B67</f>
        <v>1.9</v>
      </c>
      <c r="C68" s="206">
        <f>C67</f>
        <v>78.1</v>
      </c>
      <c r="D68" s="206">
        <f>D67-B68</f>
        <v>70.1</v>
      </c>
      <c r="E68" s="207" t="str">
        <f>E67</f>
        <v>x</v>
      </c>
      <c r="F68" s="206">
        <f>IF(E68="x",C68,Design!$D$151)</f>
        <v>78.1</v>
      </c>
      <c r="G68" s="206">
        <f>IF(E68="x",D68,Design!$D$152)</f>
        <v>70.1</v>
      </c>
      <c r="H68" s="207"/>
      <c r="I68" s="208">
        <f t="shared" si="16"/>
        <v>0</v>
      </c>
      <c r="J68" s="208">
        <f t="shared" si="16"/>
        <v>1.9000000000000057</v>
      </c>
      <c r="K68" s="208">
        <f>(I68^2+J68^2)^0.5</f>
        <v>1.9000000000000057</v>
      </c>
      <c r="L68" s="208"/>
      <c r="M68" s="209"/>
    </row>
    <row r="69" spans="1:13" ht="11.25">
      <c r="A69" s="204"/>
      <c r="B69" s="205">
        <f>B68</f>
        <v>1.9</v>
      </c>
      <c r="C69" s="206">
        <f>C66</f>
        <v>1.9</v>
      </c>
      <c r="D69" s="206">
        <f>D68</f>
        <v>70.1</v>
      </c>
      <c r="E69" s="207" t="str">
        <f>E68</f>
        <v>x</v>
      </c>
      <c r="F69" s="206">
        <f>IF(E69="x",C69,Design!$D$151)</f>
        <v>1.9</v>
      </c>
      <c r="G69" s="206">
        <f>IF(E69="x",D69,Design!$D$152)</f>
        <v>70.1</v>
      </c>
      <c r="H69" s="207"/>
      <c r="I69" s="208">
        <f t="shared" si="16"/>
        <v>76.19999999999999</v>
      </c>
      <c r="J69" s="208">
        <f t="shared" si="16"/>
        <v>0</v>
      </c>
      <c r="K69" s="208">
        <f>(I69^2+J69^2)^0.5</f>
        <v>76.19999999999999</v>
      </c>
      <c r="L69" s="208"/>
      <c r="M69" s="209"/>
    </row>
    <row r="70" spans="1:13" ht="11.25">
      <c r="A70" s="210"/>
      <c r="B70" s="211">
        <f>B69</f>
        <v>1.9</v>
      </c>
      <c r="C70" s="212">
        <f>C69</f>
        <v>1.9</v>
      </c>
      <c r="D70" s="212">
        <f>D67</f>
        <v>72</v>
      </c>
      <c r="E70" s="217" t="str">
        <f>E69</f>
        <v>x</v>
      </c>
      <c r="F70" s="212">
        <f>IF(E70="x",C70,Design!$D$151)</f>
        <v>1.9</v>
      </c>
      <c r="G70" s="212">
        <f>IF(E70="x",D70,Design!$D$152)</f>
        <v>72</v>
      </c>
      <c r="H70" s="217"/>
      <c r="I70" s="213">
        <f t="shared" si="16"/>
        <v>0</v>
      </c>
      <c r="J70" s="213">
        <f t="shared" si="16"/>
        <v>-1.9000000000000057</v>
      </c>
      <c r="K70" s="213">
        <f>(I70^2+J70^2)^0.5</f>
        <v>1.9000000000000057</v>
      </c>
      <c r="L70" s="211"/>
      <c r="M70" s="214"/>
    </row>
    <row r="71" ht="11.25"/>
    <row r="72" spans="1:13" ht="11.25">
      <c r="A72" s="218" t="str">
        <f>Design!I10</f>
        <v>Panel F (driver baffle)</v>
      </c>
      <c r="B72" s="219">
        <f>VLOOKUP(A72,Design!$B$35:$D$43,3,FALSE)</f>
        <v>1.9</v>
      </c>
      <c r="C72" s="220">
        <f>C45+M37*Ap_Ratio</f>
        <v>23.637209302325584</v>
      </c>
      <c r="D72" s="220">
        <f>D56+B72+M37</f>
        <v>18.62093023255814</v>
      </c>
      <c r="E72" s="221" t="str">
        <f>A73</f>
        <v>x</v>
      </c>
      <c r="F72" s="220">
        <f>IF(E72="x",C72,Design!$D$151)</f>
        <v>23.637209302325584</v>
      </c>
      <c r="G72" s="220">
        <f>IF(E72="x",D72,Design!$D$152)</f>
        <v>18.62093023255814</v>
      </c>
      <c r="H72" s="221"/>
      <c r="I72" s="222"/>
      <c r="J72" s="222"/>
      <c r="K72" s="222"/>
      <c r="L72" s="222">
        <f>IF(C73=C72,"",(D73-D72)/(C73-C72))</f>
      </c>
      <c r="M72" s="223">
        <f>IF(L72="","",D72-L72*C72)</f>
      </c>
    </row>
    <row r="73" spans="1:13" ht="11.25">
      <c r="A73" s="241" t="str">
        <f>VLOOKUP(A72,Design!$B$34:$F$43,2,FALSE)</f>
        <v>x</v>
      </c>
      <c r="B73" s="225">
        <f>B72</f>
        <v>1.9</v>
      </c>
      <c r="C73" s="226">
        <f>C72</f>
        <v>23.637209302325584</v>
      </c>
      <c r="D73" s="226">
        <f>D68</f>
        <v>70.1</v>
      </c>
      <c r="E73" s="227" t="str">
        <f>E72</f>
        <v>x</v>
      </c>
      <c r="F73" s="226">
        <f>IF(E73="x",C73,Design!$D$151)</f>
        <v>23.637209302325584</v>
      </c>
      <c r="G73" s="226">
        <f>IF(E73="x",D73,Design!$D$152)</f>
        <v>70.1</v>
      </c>
      <c r="H73" s="227"/>
      <c r="I73" s="228">
        <f aca="true" t="shared" si="17" ref="I73:J76">C72-C73</f>
        <v>0</v>
      </c>
      <c r="J73" s="228">
        <f t="shared" si="17"/>
        <v>-51.47906976744186</v>
      </c>
      <c r="K73" s="228">
        <f>(I73^2+J73^2)^0.5</f>
        <v>51.47906976744186</v>
      </c>
      <c r="L73" s="228">
        <f>IF(C74=C73,"",(D74-D73)/(C74-C73))</f>
        <v>0</v>
      </c>
      <c r="M73" s="229">
        <f>IF(L73="","",D73-L73*C73)</f>
        <v>70.1</v>
      </c>
    </row>
    <row r="74" spans="1:13" ht="11.25">
      <c r="A74" s="224"/>
      <c r="B74" s="225">
        <f>B73</f>
        <v>1.9</v>
      </c>
      <c r="C74" s="226">
        <f>C73+B73</f>
        <v>25.537209302325582</v>
      </c>
      <c r="D74" s="226">
        <f>D73</f>
        <v>70.1</v>
      </c>
      <c r="E74" s="227" t="str">
        <f>E73</f>
        <v>x</v>
      </c>
      <c r="F74" s="226">
        <f>IF(E74="x",C74,Design!$D$151)</f>
        <v>25.537209302325582</v>
      </c>
      <c r="G74" s="226">
        <f>IF(E74="x",D74,Design!$D$152)</f>
        <v>70.1</v>
      </c>
      <c r="H74" s="227"/>
      <c r="I74" s="228">
        <f t="shared" si="17"/>
        <v>-1.8999999999999986</v>
      </c>
      <c r="J74" s="228">
        <f t="shared" si="17"/>
        <v>0</v>
      </c>
      <c r="K74" s="228">
        <f>(I74^2+J74^2)^0.5</f>
        <v>1.8999999999999986</v>
      </c>
      <c r="L74" s="228">
        <f>IF(C75=C74,"",(D75-D74)/(C75-C74))</f>
      </c>
      <c r="M74" s="229">
        <f>IF(L74="","",D74-L74*C74)</f>
      </c>
    </row>
    <row r="75" spans="1:13" ht="11.25">
      <c r="A75" s="224"/>
      <c r="B75" s="225">
        <f>B74</f>
        <v>1.9</v>
      </c>
      <c r="C75" s="226">
        <f>C74</f>
        <v>25.537209302325582</v>
      </c>
      <c r="D75" s="226">
        <f>D72</f>
        <v>18.62093023255814</v>
      </c>
      <c r="E75" s="227" t="str">
        <f>E74</f>
        <v>x</v>
      </c>
      <c r="F75" s="226">
        <f>IF(E75="x",C75,Design!$D$151)</f>
        <v>25.537209302325582</v>
      </c>
      <c r="G75" s="226">
        <f>IF(E75="x",D75,Design!$D$152)</f>
        <v>18.62093023255814</v>
      </c>
      <c r="H75" s="227"/>
      <c r="I75" s="228">
        <f t="shared" si="17"/>
        <v>0</v>
      </c>
      <c r="J75" s="228">
        <f t="shared" si="17"/>
        <v>51.47906976744186</v>
      </c>
      <c r="K75" s="228">
        <f>(I75^2+J75^2)^0.5</f>
        <v>51.47906976744186</v>
      </c>
      <c r="L75" s="228">
        <f>IF(C76=C75,"",(D76-D75)/(C76-C75))</f>
        <v>0</v>
      </c>
      <c r="M75" s="229">
        <f>IF(L75="","",D75-L75*C75)</f>
        <v>18.62093023255814</v>
      </c>
    </row>
    <row r="76" spans="1:13" ht="11.25">
      <c r="A76" s="230"/>
      <c r="B76" s="231">
        <f>B75</f>
        <v>1.9</v>
      </c>
      <c r="C76" s="232">
        <f>C75-B76</f>
        <v>23.637209302325584</v>
      </c>
      <c r="D76" s="232">
        <f>D75</f>
        <v>18.62093023255814</v>
      </c>
      <c r="E76" s="275" t="str">
        <f>E75</f>
        <v>x</v>
      </c>
      <c r="F76" s="232">
        <f>IF(E76="x",C76,Design!$D$151)</f>
        <v>23.637209302325584</v>
      </c>
      <c r="G76" s="232">
        <f>IF(E76="x",D76,Design!$D$152)</f>
        <v>18.62093023255814</v>
      </c>
      <c r="H76" s="231"/>
      <c r="I76" s="233">
        <f t="shared" si="17"/>
        <v>1.8999999999999986</v>
      </c>
      <c r="J76" s="233">
        <f t="shared" si="17"/>
        <v>0</v>
      </c>
      <c r="K76" s="233">
        <f>(I76^2+J76^2)^0.5</f>
        <v>1.8999999999999986</v>
      </c>
      <c r="L76" s="233"/>
      <c r="M76" s="234"/>
    </row>
    <row r="77" ht="11.25"/>
    <row r="78" spans="1:13" ht="11.25">
      <c r="A78" s="235" t="str">
        <f>Design!I11</f>
        <v>Panel G (2nd inside)</v>
      </c>
      <c r="B78" s="236">
        <f>VLOOKUP(A78,Design!$B$35:$D$43,3,FALSE)</f>
        <v>1.2</v>
      </c>
      <c r="C78" s="237">
        <f>C75</f>
        <v>25.537209302325582</v>
      </c>
      <c r="D78" s="237">
        <f>D75</f>
        <v>18.62093023255814</v>
      </c>
      <c r="E78" s="221" t="str">
        <f>A79</f>
        <v>x</v>
      </c>
      <c r="F78" s="220">
        <f>IF(E78="x",C78,Design!$D$151)</f>
        <v>25.537209302325582</v>
      </c>
      <c r="G78" s="220">
        <f>IF(E78="x",D78,Design!$D$152)</f>
        <v>18.62093023255814</v>
      </c>
      <c r="H78" s="238"/>
      <c r="I78" s="239"/>
      <c r="J78" s="239"/>
      <c r="K78" s="239"/>
      <c r="L78" s="239">
        <f>IF(C79=C78,"",(D79-D78)/(C79-C78))</f>
      </c>
      <c r="M78" s="240">
        <f>IF(L78="","",D78-L78*C78)</f>
      </c>
    </row>
    <row r="79" spans="1:13" ht="11.25">
      <c r="A79" s="241" t="str">
        <f>VLOOKUP(A78,Design!$B$34:$F$43,2,FALSE)</f>
        <v>x</v>
      </c>
      <c r="B79" s="242">
        <f>B78</f>
        <v>1.2</v>
      </c>
      <c r="C79" s="243">
        <f>C78</f>
        <v>25.537209302325582</v>
      </c>
      <c r="D79" s="243">
        <f>D78+B79</f>
        <v>19.82093023255814</v>
      </c>
      <c r="E79" s="227" t="str">
        <f>E78</f>
        <v>x</v>
      </c>
      <c r="F79" s="226">
        <f>IF(E79="x",C79,Design!$D$151)</f>
        <v>25.537209302325582</v>
      </c>
      <c r="G79" s="226">
        <f>IF(E79="x",D79,Design!$D$152)</f>
        <v>19.82093023255814</v>
      </c>
      <c r="H79" s="244"/>
      <c r="I79" s="245">
        <f aca="true" t="shared" si="18" ref="I79:J82">C78-C79</f>
        <v>0</v>
      </c>
      <c r="J79" s="245">
        <f t="shared" si="18"/>
        <v>-1.1999999999999993</v>
      </c>
      <c r="K79" s="245">
        <f>(I79^2+J79^2)^0.5</f>
        <v>1.1999999999999993</v>
      </c>
      <c r="L79" s="245">
        <f>IF(C80=C79,"",(D80-D79)/(C80-C79))</f>
        <v>0</v>
      </c>
      <c r="M79" s="246">
        <f>IF(L79="","",D79-L79*C79)</f>
        <v>19.82093023255814</v>
      </c>
    </row>
    <row r="80" spans="1:13" ht="11.25">
      <c r="A80" s="241"/>
      <c r="B80" s="242">
        <f>B79</f>
        <v>1.2</v>
      </c>
      <c r="C80" s="243">
        <f>C79+M37*2+B80</f>
        <v>60.179069767441874</v>
      </c>
      <c r="D80" s="243">
        <f>D79</f>
        <v>19.82093023255814</v>
      </c>
      <c r="E80" s="227" t="str">
        <f>E79</f>
        <v>x</v>
      </c>
      <c r="F80" s="226">
        <f>IF(E80="x",C80,Design!$D$151)</f>
        <v>60.179069767441874</v>
      </c>
      <c r="G80" s="226">
        <f>IF(E80="x",D80,Design!$D$152)</f>
        <v>19.82093023255814</v>
      </c>
      <c r="H80" s="244"/>
      <c r="I80" s="245">
        <f t="shared" si="18"/>
        <v>-34.641860465116295</v>
      </c>
      <c r="J80" s="245">
        <f t="shared" si="18"/>
        <v>0</v>
      </c>
      <c r="K80" s="245">
        <f>(I80^2+J80^2)^0.5</f>
        <v>34.641860465116295</v>
      </c>
      <c r="L80" s="245">
        <f>IF(C81=C80,"",(D81-D80)/(C81-C80))</f>
      </c>
      <c r="M80" s="246">
        <f>IF(L80="","",D80-L80*C80)</f>
      </c>
    </row>
    <row r="81" spans="1:13" ht="11.25">
      <c r="A81" s="241"/>
      <c r="B81" s="242">
        <f>B80</f>
        <v>1.2</v>
      </c>
      <c r="C81" s="243">
        <f>C80</f>
        <v>60.179069767441874</v>
      </c>
      <c r="D81" s="243">
        <f>D78</f>
        <v>18.62093023255814</v>
      </c>
      <c r="E81" s="227" t="str">
        <f>E80</f>
        <v>x</v>
      </c>
      <c r="F81" s="226">
        <f>IF(E81="x",C81,Design!$D$151)</f>
        <v>60.179069767441874</v>
      </c>
      <c r="G81" s="226">
        <f>IF(E81="x",D81,Design!$D$152)</f>
        <v>18.62093023255814</v>
      </c>
      <c r="H81" s="244"/>
      <c r="I81" s="245">
        <f t="shared" si="18"/>
        <v>0</v>
      </c>
      <c r="J81" s="245">
        <f t="shared" si="18"/>
        <v>1.1999999999999993</v>
      </c>
      <c r="K81" s="245">
        <f>(I81^2+J81^2)^0.5</f>
        <v>1.1999999999999993</v>
      </c>
      <c r="L81" s="245">
        <f>IF(C82=C81,"",(D82-D81)/(C82-C81))</f>
        <v>0</v>
      </c>
      <c r="M81" s="246">
        <f>IF(L81="","",D81-L81*C81)</f>
        <v>18.62093023255814</v>
      </c>
    </row>
    <row r="82" spans="1:13" ht="11.25">
      <c r="A82" s="247"/>
      <c r="B82" s="248">
        <f>B81</f>
        <v>1.2</v>
      </c>
      <c r="C82" s="249">
        <f>C78</f>
        <v>25.537209302325582</v>
      </c>
      <c r="D82" s="249">
        <f>D78</f>
        <v>18.62093023255814</v>
      </c>
      <c r="E82" s="275" t="str">
        <f>E81</f>
        <v>x</v>
      </c>
      <c r="F82" s="232">
        <f>IF(E82="x",C82,Design!$D$151)</f>
        <v>25.537209302325582</v>
      </c>
      <c r="G82" s="232">
        <f>IF(E82="x",D82,Design!$D$152)</f>
        <v>18.62093023255814</v>
      </c>
      <c r="H82" s="248"/>
      <c r="I82" s="250">
        <f t="shared" si="18"/>
        <v>34.641860465116295</v>
      </c>
      <c r="J82" s="250">
        <f t="shared" si="18"/>
        <v>0</v>
      </c>
      <c r="K82" s="250">
        <f>(I82^2+J82^2)^0.5</f>
        <v>34.641860465116295</v>
      </c>
      <c r="L82" s="251"/>
      <c r="M82" s="252"/>
    </row>
    <row r="83" spans="3:6" ht="11.25">
      <c r="C83" s="216"/>
      <c r="D83" s="216"/>
      <c r="E83" s="216"/>
    </row>
    <row r="84" spans="1:13" ht="11.25">
      <c r="A84" s="235" t="str">
        <f>Design!I12</f>
        <v>Panel H (3rd inside)</v>
      </c>
      <c r="B84" s="236">
        <f>VLOOKUP(A84,Design!$B$35:$D$43,3,FALSE)</f>
        <v>1.2</v>
      </c>
      <c r="C84" s="237">
        <f>C81</f>
        <v>60.179069767441874</v>
      </c>
      <c r="D84" s="237">
        <f>D81</f>
        <v>18.62093023255814</v>
      </c>
      <c r="E84" s="221" t="str">
        <f>A85</f>
        <v>x</v>
      </c>
      <c r="F84" s="220">
        <f>IF(E84="x",C84,Design!$D$151)</f>
        <v>60.179069767441874</v>
      </c>
      <c r="G84" s="220">
        <f>IF(E84="x",D84,Design!$D$152)</f>
        <v>18.62093023255814</v>
      </c>
      <c r="H84" s="238"/>
      <c r="I84" s="239"/>
      <c r="J84" s="239"/>
      <c r="K84" s="239"/>
      <c r="L84" s="239">
        <f>IF(C85=C84,"",(D85-D84)/(C85-C84))</f>
        <v>0</v>
      </c>
      <c r="M84" s="240">
        <f>IF(L84="","",D84-L84*C84)</f>
        <v>18.62093023255814</v>
      </c>
    </row>
    <row r="85" spans="1:13" ht="11.25">
      <c r="A85" s="241" t="str">
        <f>VLOOKUP(A84,Design!$B$34:$F$43,2,FALSE)</f>
        <v>x</v>
      </c>
      <c r="B85" s="242">
        <f>B84</f>
        <v>1.2</v>
      </c>
      <c r="C85" s="243">
        <f>C84+B85</f>
        <v>61.37906976744188</v>
      </c>
      <c r="D85" s="243">
        <f>D84</f>
        <v>18.62093023255814</v>
      </c>
      <c r="E85" s="227" t="str">
        <f>E84</f>
        <v>x</v>
      </c>
      <c r="F85" s="226">
        <f>IF(E85="x",C85,Design!$D$151)</f>
        <v>61.37906976744188</v>
      </c>
      <c r="G85" s="226">
        <f>IF(E85="x",D85,Design!$D$152)</f>
        <v>18.62093023255814</v>
      </c>
      <c r="H85" s="244"/>
      <c r="I85" s="245">
        <f aca="true" t="shared" si="19" ref="I85:J88">C84-C85</f>
        <v>-1.2000000000000028</v>
      </c>
      <c r="J85" s="245">
        <f t="shared" si="19"/>
        <v>0</v>
      </c>
      <c r="K85" s="245">
        <f>(I85^2+J85^2)^0.5</f>
        <v>1.2000000000000028</v>
      </c>
      <c r="L85" s="245">
        <f>IF(C86=C85,"",(D86-D85)/(C86-C85))</f>
      </c>
      <c r="M85" s="246">
        <f>IF(L85="","",D85-L85*C85)</f>
      </c>
    </row>
    <row r="86" spans="1:13" ht="11.25">
      <c r="A86" s="241"/>
      <c r="B86" s="242">
        <f>B85</f>
        <v>1.2</v>
      </c>
      <c r="C86" s="243">
        <f>C85</f>
        <v>61.37906976744188</v>
      </c>
      <c r="D86" s="243">
        <f>D68-M37</f>
        <v>53.37906976744185</v>
      </c>
      <c r="E86" s="227" t="str">
        <f>E85</f>
        <v>x</v>
      </c>
      <c r="F86" s="226">
        <f>IF(E86="x",C86,Design!$D$151)</f>
        <v>61.37906976744188</v>
      </c>
      <c r="G86" s="226">
        <f>IF(E86="x",D86,Design!$D$152)</f>
        <v>53.37906976744185</v>
      </c>
      <c r="H86" s="244"/>
      <c r="I86" s="245">
        <f t="shared" si="19"/>
        <v>0</v>
      </c>
      <c r="J86" s="245">
        <f t="shared" si="19"/>
        <v>-34.75813953488371</v>
      </c>
      <c r="K86" s="245">
        <f>(I86^2+J86^2)^0.5</f>
        <v>34.75813953488371</v>
      </c>
      <c r="L86" s="245">
        <f>IF(C87=C86,"",(D87-D86)/(C87-C86))</f>
        <v>0</v>
      </c>
      <c r="M86" s="246">
        <f>IF(L86="","",D86-L86*C86)</f>
        <v>53.37906976744185</v>
      </c>
    </row>
    <row r="87" spans="1:13" ht="11.25">
      <c r="A87" s="241"/>
      <c r="B87" s="242">
        <f>B86</f>
        <v>1.2</v>
      </c>
      <c r="C87" s="243">
        <f>C84</f>
        <v>60.179069767441874</v>
      </c>
      <c r="D87" s="243">
        <f>D86</f>
        <v>53.37906976744185</v>
      </c>
      <c r="E87" s="227" t="str">
        <f>E86</f>
        <v>x</v>
      </c>
      <c r="F87" s="226">
        <f>IF(E87="x",C87,Design!$D$151)</f>
        <v>60.179069767441874</v>
      </c>
      <c r="G87" s="226">
        <f>IF(E87="x",D87,Design!$D$152)</f>
        <v>53.37906976744185</v>
      </c>
      <c r="H87" s="244"/>
      <c r="I87" s="245">
        <f t="shared" si="19"/>
        <v>1.2000000000000028</v>
      </c>
      <c r="J87" s="245">
        <f t="shared" si="19"/>
        <v>0</v>
      </c>
      <c r="K87" s="245">
        <f>(I87^2+J87^2)^0.5</f>
        <v>1.2000000000000028</v>
      </c>
      <c r="L87" s="245">
        <f>IF(C88=C87,"",(D88-D87)/(C88-C87))</f>
      </c>
      <c r="M87" s="246">
        <f>IF(L87="","",D87-L87*C87)</f>
      </c>
    </row>
    <row r="88" spans="1:13" ht="11.25">
      <c r="A88" s="247"/>
      <c r="B88" s="248">
        <f>B87</f>
        <v>1.2</v>
      </c>
      <c r="C88" s="249">
        <f>C84</f>
        <v>60.179069767441874</v>
      </c>
      <c r="D88" s="249">
        <f>D84</f>
        <v>18.62093023255814</v>
      </c>
      <c r="E88" s="275" t="str">
        <f>E87</f>
        <v>x</v>
      </c>
      <c r="F88" s="232">
        <f>IF(E88="x",C88,Design!$D$151)</f>
        <v>60.179069767441874</v>
      </c>
      <c r="G88" s="232">
        <f>IF(E88="x",D88,Design!$D$152)</f>
        <v>18.62093023255814</v>
      </c>
      <c r="H88" s="248"/>
      <c r="I88" s="250">
        <f t="shared" si="19"/>
        <v>0</v>
      </c>
      <c r="J88" s="250">
        <f t="shared" si="19"/>
        <v>34.75813953488371</v>
      </c>
      <c r="K88" s="250">
        <f>(I88^2+J88^2)^0.5</f>
        <v>34.75813953488371</v>
      </c>
      <c r="L88" s="251"/>
      <c r="M88" s="252"/>
    </row>
    <row r="89" ht="11.25"/>
    <row r="90" spans="1:13" ht="11.25">
      <c r="A90" s="235" t="str">
        <f>Design!I13</f>
        <v>Panel I (4th inside)</v>
      </c>
      <c r="B90" s="236">
        <f>VLOOKUP(A90,Design!$B$35:$D$43,3,FALSE)</f>
        <v>1.2</v>
      </c>
      <c r="C90" s="237">
        <f>C74+M37</f>
        <v>42.258139534883725</v>
      </c>
      <c r="D90" s="237">
        <f>D68</f>
        <v>70.1</v>
      </c>
      <c r="E90" s="221" t="str">
        <f>A91</f>
        <v>x</v>
      </c>
      <c r="F90" s="220">
        <f>IF(E90="x",C90,Design!$D$151)</f>
        <v>42.258139534883725</v>
      </c>
      <c r="G90" s="220">
        <f>IF(E90="x",D90,Design!$D$152)</f>
        <v>70.1</v>
      </c>
      <c r="H90" s="238"/>
      <c r="I90" s="239"/>
      <c r="J90" s="239"/>
      <c r="K90" s="239"/>
      <c r="L90" s="239">
        <f>IF(C91=C90,"",(D91-D90)/(C91-C90))</f>
        <v>0</v>
      </c>
      <c r="M90" s="240">
        <f>IF(L90="","",D90-L90*C90)</f>
        <v>70.1</v>
      </c>
    </row>
    <row r="91" spans="1:13" ht="11.25">
      <c r="A91" s="241" t="str">
        <f>VLOOKUP(A90,Design!$B$34:$F$43,2,FALSE)</f>
        <v>x</v>
      </c>
      <c r="B91" s="242">
        <f>B90</f>
        <v>1.2</v>
      </c>
      <c r="C91" s="243">
        <f>C90+B90</f>
        <v>43.45813953488373</v>
      </c>
      <c r="D91" s="243">
        <f>D90</f>
        <v>70.1</v>
      </c>
      <c r="E91" s="227" t="str">
        <f>E90</f>
        <v>x</v>
      </c>
      <c r="F91" s="226">
        <f>IF(E91="x",C91,Design!$D$151)</f>
        <v>43.45813953488373</v>
      </c>
      <c r="G91" s="226">
        <f>IF(E91="x",D91,Design!$D$152)</f>
        <v>70.1</v>
      </c>
      <c r="H91" s="244"/>
      <c r="I91" s="245">
        <f aca="true" t="shared" si="20" ref="I91:J94">C90-C91</f>
        <v>-1.2000000000000028</v>
      </c>
      <c r="J91" s="245">
        <f t="shared" si="20"/>
        <v>0</v>
      </c>
      <c r="K91" s="245">
        <f>(I91^2+J91^2)^0.5</f>
        <v>1.2000000000000028</v>
      </c>
      <c r="L91" s="245">
        <f>IF(C92=C91,"",(D92-D91)/(C92-C91))</f>
      </c>
      <c r="M91" s="246">
        <f>IF(L91="","",D91-L91*C91)</f>
      </c>
    </row>
    <row r="92" spans="1:13" ht="11.25">
      <c r="A92" s="241"/>
      <c r="B92" s="242">
        <f>B91</f>
        <v>1.2</v>
      </c>
      <c r="C92" s="243">
        <f>C91</f>
        <v>43.45813953488373</v>
      </c>
      <c r="D92" s="243">
        <f>D79+M37</f>
        <v>36.54186046511629</v>
      </c>
      <c r="E92" s="227" t="str">
        <f>E91</f>
        <v>x</v>
      </c>
      <c r="F92" s="226">
        <f>IF(E92="x",C92,Design!$D$151)</f>
        <v>43.45813953488373</v>
      </c>
      <c r="G92" s="226">
        <f>IF(E92="x",D92,Design!$D$152)</f>
        <v>36.54186046511629</v>
      </c>
      <c r="H92" s="244"/>
      <c r="I92" s="245">
        <f t="shared" si="20"/>
        <v>0</v>
      </c>
      <c r="J92" s="245">
        <f t="shared" si="20"/>
        <v>33.55813953488371</v>
      </c>
      <c r="K92" s="245">
        <f>(I92^2+J92^2)^0.5</f>
        <v>33.55813953488371</v>
      </c>
      <c r="L92" s="245">
        <f>IF(C93=C92,"",(D93-D92)/(C93-C92))</f>
        <v>0</v>
      </c>
      <c r="M92" s="246">
        <f>IF(L92="","",D92-L92*C92)</f>
        <v>36.54186046511629</v>
      </c>
    </row>
    <row r="93" spans="1:13" ht="11.25">
      <c r="A93" s="241"/>
      <c r="B93" s="242">
        <f>B92</f>
        <v>1.2</v>
      </c>
      <c r="C93" s="243">
        <f>C90</f>
        <v>42.258139534883725</v>
      </c>
      <c r="D93" s="243">
        <f>D92</f>
        <v>36.54186046511629</v>
      </c>
      <c r="E93" s="227" t="str">
        <f>E92</f>
        <v>x</v>
      </c>
      <c r="F93" s="226">
        <f>IF(E93="x",C93,Design!$D$151)</f>
        <v>42.258139534883725</v>
      </c>
      <c r="G93" s="226">
        <f>IF(E93="x",D93,Design!$D$152)</f>
        <v>36.54186046511629</v>
      </c>
      <c r="H93" s="244"/>
      <c r="I93" s="245">
        <f t="shared" si="20"/>
        <v>1.2000000000000028</v>
      </c>
      <c r="J93" s="245">
        <f t="shared" si="20"/>
        <v>0</v>
      </c>
      <c r="K93" s="245">
        <f>(I93^2+J93^2)^0.5</f>
        <v>1.2000000000000028</v>
      </c>
      <c r="L93" s="245">
        <f>IF(C94=C93,"",(D94-D93)/(C94-C93))</f>
      </c>
      <c r="M93" s="246">
        <f>IF(L93="","",D93-L93*C93)</f>
      </c>
    </row>
    <row r="94" spans="1:13" ht="11.25">
      <c r="A94" s="247"/>
      <c r="B94" s="248">
        <f>B93</f>
        <v>1.2</v>
      </c>
      <c r="C94" s="249">
        <f>C90</f>
        <v>42.258139534883725</v>
      </c>
      <c r="D94" s="249">
        <f>D90</f>
        <v>70.1</v>
      </c>
      <c r="E94" s="275" t="str">
        <f>E93</f>
        <v>x</v>
      </c>
      <c r="F94" s="232">
        <f>IF(E94="x",C94,Design!$D$151)</f>
        <v>42.258139534883725</v>
      </c>
      <c r="G94" s="232">
        <f>IF(E94="x",D94,Design!$D$152)</f>
        <v>70.1</v>
      </c>
      <c r="H94" s="248"/>
      <c r="I94" s="250">
        <f t="shared" si="20"/>
        <v>0</v>
      </c>
      <c r="J94" s="250">
        <f t="shared" si="20"/>
        <v>-33.55813953488371</v>
      </c>
      <c r="K94" s="250">
        <f>(I94^2+J94^2)^0.5</f>
        <v>33.55813953488371</v>
      </c>
      <c r="L94" s="251"/>
      <c r="M94" s="252"/>
    </row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</sheetData>
  <sheetProtection sheet="1"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G126"/>
  <sheetViews>
    <sheetView showGridLines="0" zoomScalePageLayoutView="0" workbookViewId="0" topLeftCell="A10">
      <selection activeCell="X57" sqref="X57:Y58"/>
    </sheetView>
  </sheetViews>
  <sheetFormatPr defaultColWidth="9.140625" defaultRowHeight="12.75"/>
  <cols>
    <col min="1" max="23" width="9.140625" style="3" customWidth="1"/>
    <col min="24" max="24" width="14.57421875" style="3" customWidth="1"/>
    <col min="25" max="16384" width="9.140625" style="3" customWidth="1"/>
  </cols>
  <sheetData>
    <row r="2" spans="4:6" ht="11.25">
      <c r="D2" s="124" t="s">
        <v>164</v>
      </c>
      <c r="E2" s="124" t="s">
        <v>1</v>
      </c>
      <c r="F2" s="124" t="s">
        <v>12</v>
      </c>
    </row>
    <row r="3" spans="3:15" ht="11.25">
      <c r="C3" s="2" t="s">
        <v>13</v>
      </c>
      <c r="D3" s="6">
        <f>VLOOKUP($C3,$A$16:$O$123,15,FALSE)</f>
        <v>571.8558139534886</v>
      </c>
      <c r="E3" s="6">
        <f>VLOOKUP($C3,$A$16:$O$123,14,FALSE)</f>
        <v>0</v>
      </c>
      <c r="F3" s="3">
        <v>0</v>
      </c>
      <c r="H3" s="268" t="s">
        <v>190</v>
      </c>
      <c r="I3" s="263"/>
      <c r="J3" s="269" t="s">
        <v>5</v>
      </c>
      <c r="K3" s="269" t="s">
        <v>6</v>
      </c>
      <c r="L3" s="269" t="s">
        <v>7</v>
      </c>
      <c r="M3" s="269" t="s">
        <v>8</v>
      </c>
      <c r="N3" s="269" t="s">
        <v>3</v>
      </c>
      <c r="O3" s="269" t="s">
        <v>66</v>
      </c>
    </row>
    <row r="4" spans="3:15" ht="11.25">
      <c r="C4" s="2" t="s">
        <v>32</v>
      </c>
      <c r="D4" s="6">
        <f>VLOOKUP($C4,$A$16:$O$123,15,FALSE)</f>
        <v>571.8558139534886</v>
      </c>
      <c r="E4" s="6">
        <f>VLOOKUP($C4,$A$16:$O$123,14,FALSE)</f>
        <v>18.9</v>
      </c>
      <c r="F4" s="6">
        <f>E4-E3</f>
        <v>18.9</v>
      </c>
      <c r="H4" s="264"/>
      <c r="I4" s="265"/>
      <c r="J4" s="262">
        <f>C106</f>
        <v>1.9</v>
      </c>
      <c r="K4" s="262">
        <f>D106</f>
        <v>70.1</v>
      </c>
      <c r="L4" s="262">
        <f>J5-J4</f>
        <v>21.737209302325585</v>
      </c>
      <c r="M4" s="262">
        <f>ABS(K4-K5)</f>
        <v>44.562790697674416</v>
      </c>
      <c r="N4" s="262">
        <f>L4*M4</f>
        <v>968.6707084910763</v>
      </c>
      <c r="O4" s="262">
        <f>N4*InternalW/1000</f>
        <v>33.12853823039482</v>
      </c>
    </row>
    <row r="5" spans="3:15" ht="11.25">
      <c r="C5" s="2" t="s">
        <v>38</v>
      </c>
      <c r="D5" s="6">
        <f>VLOOKUP($C5,$A$16:$O$123,15,FALSE)</f>
        <v>571.8558139534886</v>
      </c>
      <c r="E5" s="6">
        <f>VLOOKUP($C5,$A$16:$O$123,14,FALSE)</f>
        <v>196.65638230657714</v>
      </c>
      <c r="F5" s="6">
        <f>E5-E4</f>
        <v>177.75638230657714</v>
      </c>
      <c r="H5" s="266"/>
      <c r="I5" s="267"/>
      <c r="J5" s="262">
        <f>C113</f>
        <v>23.637209302325584</v>
      </c>
      <c r="K5" s="262">
        <f>D113</f>
        <v>25.537209302325582</v>
      </c>
      <c r="L5" s="261"/>
      <c r="M5" s="261"/>
      <c r="N5" s="261"/>
      <c r="O5" s="261"/>
    </row>
    <row r="6" spans="3:6" ht="11.25">
      <c r="C6" s="2" t="s">
        <v>14</v>
      </c>
      <c r="D6" s="6">
        <f>VLOOKUP($C6,$A$16:$O$123,15,FALSE)</f>
        <v>743.4125581395351</v>
      </c>
      <c r="E6" s="6">
        <f>VLOOKUP($C6,$A$16:$O$123,14,FALSE)</f>
        <v>207.52498695773994</v>
      </c>
      <c r="F6" s="6">
        <f>E6-E5</f>
        <v>10.868604651162798</v>
      </c>
    </row>
    <row r="7" spans="3:6" ht="11.25">
      <c r="C7" s="2" t="s">
        <v>145</v>
      </c>
      <c r="D7" s="6">
        <f>VLOOKUP($C7,$A$16:$O$123,15,FALSE)</f>
        <v>743.4125581395351</v>
      </c>
      <c r="E7" s="6">
        <f>VLOOKUP($C7,$A$16:$O$123,14,FALSE)</f>
        <v>220.29359160890274</v>
      </c>
      <c r="F7" s="6">
        <f>IF(Alt_Config=1,E7,E7-E6)</f>
        <v>12.768604651162804</v>
      </c>
    </row>
    <row r="8" spans="3:4" ht="11.25">
      <c r="C8" s="2" t="s">
        <v>172</v>
      </c>
      <c r="D8" s="6">
        <f>_S9_</f>
        <v>743.4125581395351</v>
      </c>
    </row>
    <row r="10" spans="3:4" ht="11.25">
      <c r="C10" s="2" t="s">
        <v>154</v>
      </c>
      <c r="D10" s="6">
        <f>VLOOKUP($C10,$A$16:$O$123,15,FALSE)</f>
        <v>743.4125581395351</v>
      </c>
    </row>
    <row r="11" spans="3:4" ht="11.25">
      <c r="C11" s="2" t="s">
        <v>165</v>
      </c>
      <c r="D11" s="6">
        <f>VLOOKUP($C11,$A$16:$O$123,15,FALSE)</f>
        <v>743.4125581395351</v>
      </c>
    </row>
    <row r="12" spans="3:4" ht="11.25">
      <c r="C12" s="2"/>
      <c r="D12" s="6"/>
    </row>
    <row r="13" spans="3:6" ht="11.25">
      <c r="C13" s="2" t="s">
        <v>182</v>
      </c>
      <c r="D13" s="6">
        <f>VLOOKUP($C13,$A$16:$O$123,15,FALSE)</f>
        <v>743.4125581395351</v>
      </c>
      <c r="E13" s="6">
        <f>VLOOKUP($C13,$A$16:$O$123,14,FALSE)</f>
        <v>18.9</v>
      </c>
      <c r="F13" s="6">
        <f>E13</f>
        <v>18.9</v>
      </c>
    </row>
    <row r="14" spans="3:6" ht="11.25">
      <c r="C14" s="2" t="s">
        <v>184</v>
      </c>
      <c r="D14" s="6">
        <f>VLOOKUP($C14,$A$16:$O$123,15,FALSE)</f>
        <v>743.4125581395351</v>
      </c>
      <c r="E14" s="6">
        <f>VLOOKUP($C14,$A$16:$O$123,14,FALSE)</f>
        <v>44.562790697674416</v>
      </c>
      <c r="F14" s="6">
        <f>E14-E13</f>
        <v>25.662790697674417</v>
      </c>
    </row>
    <row r="15" spans="3:6" ht="11.25">
      <c r="C15" s="2" t="s">
        <v>186</v>
      </c>
      <c r="D15" s="6">
        <f>VLOOKUP($C15,$A$16:$O$123,15,FALSE)</f>
        <v>743.4125581395351</v>
      </c>
      <c r="E15" s="6">
        <f>VLOOKUP($C15,$A$16:$O$123,14,FALSE)</f>
        <v>46.462790697674414</v>
      </c>
      <c r="F15" s="6">
        <f>E15-E14</f>
        <v>1.8999999999999986</v>
      </c>
    </row>
    <row r="16" spans="4:8" ht="11.25">
      <c r="D16" s="7"/>
      <c r="G16" s="3" t="s">
        <v>12</v>
      </c>
      <c r="H16" s="3">
        <f>Design!E35</f>
        <v>34.2</v>
      </c>
    </row>
    <row r="17" spans="25:33" ht="11.25">
      <c r="Y17" s="122"/>
      <c r="Z17" s="122"/>
      <c r="AA17" s="122"/>
      <c r="AB17" s="122"/>
      <c r="AC17" s="123"/>
      <c r="AD17" s="123"/>
      <c r="AE17" s="6"/>
      <c r="AF17" s="6"/>
      <c r="AG17" s="6"/>
    </row>
    <row r="18" spans="1:15" ht="11.25">
      <c r="A18" s="2" t="s">
        <v>30</v>
      </c>
      <c r="C18" s="4" t="s">
        <v>5</v>
      </c>
      <c r="D18" s="4" t="s">
        <v>6</v>
      </c>
      <c r="F18" s="4" t="s">
        <v>5</v>
      </c>
      <c r="G18" s="4" t="s">
        <v>6</v>
      </c>
      <c r="I18" s="4" t="s">
        <v>12</v>
      </c>
      <c r="J18" s="4" t="s">
        <v>5</v>
      </c>
      <c r="K18" s="4" t="s">
        <v>6</v>
      </c>
      <c r="L18" s="2" t="s">
        <v>31</v>
      </c>
      <c r="M18" s="4" t="s">
        <v>12</v>
      </c>
      <c r="N18" s="2" t="s">
        <v>1</v>
      </c>
      <c r="O18" s="2" t="s">
        <v>35</v>
      </c>
    </row>
    <row r="19" spans="3:32" ht="11.25">
      <c r="C19" s="192">
        <f>Panels!C74</f>
        <v>25.537209302325582</v>
      </c>
      <c r="D19" s="192">
        <f>Panels!D74</f>
        <v>70.1</v>
      </c>
      <c r="E19" s="10"/>
      <c r="F19" s="9">
        <f>IF(Design!$H$17="x",C19,0)</f>
        <v>25.537209302325582</v>
      </c>
      <c r="G19" s="9">
        <f>IF(Design!$H$17="x",D19,0)</f>
        <v>70.1</v>
      </c>
      <c r="H19" s="9">
        <f>SUM(C19:C20)/2</f>
        <v>33.89767441860465</v>
      </c>
      <c r="I19" s="9">
        <f>SUM(D19:D20)/2</f>
        <v>70.1</v>
      </c>
      <c r="J19" s="9">
        <f>IF(Design!$H$16="x",H19,0)</f>
        <v>33.89767441860465</v>
      </c>
      <c r="K19" s="9">
        <f>IF(Design!$H$16="x",I19,0)</f>
        <v>70.1</v>
      </c>
      <c r="L19" s="10"/>
      <c r="M19" s="10"/>
      <c r="N19" s="10"/>
      <c r="O19" s="11"/>
      <c r="P19" s="6"/>
      <c r="U19" s="6"/>
      <c r="Y19" s="6"/>
      <c r="Z19" s="6"/>
      <c r="AA19" s="6"/>
      <c r="AB19" s="6"/>
      <c r="AC19" s="7"/>
      <c r="AD19" s="7"/>
      <c r="AE19" s="122"/>
      <c r="AF19" s="122"/>
    </row>
    <row r="20" spans="2:33" ht="11.25">
      <c r="B20" s="5">
        <v>1</v>
      </c>
      <c r="C20" s="192">
        <f>Panels!$C$90</f>
        <v>42.258139534883725</v>
      </c>
      <c r="D20" s="192">
        <f>D19</f>
        <v>70.1</v>
      </c>
      <c r="E20" s="13"/>
      <c r="F20" s="12">
        <f>IF(Design!$H$17="x",C20,0)</f>
        <v>42.258139534883725</v>
      </c>
      <c r="G20" s="12">
        <f>IF(Design!$H$17="x",D20,0)</f>
        <v>70.1</v>
      </c>
      <c r="H20" s="12"/>
      <c r="I20" s="12"/>
      <c r="J20" s="12">
        <f>J19</f>
        <v>33.89767441860465</v>
      </c>
      <c r="K20" s="12">
        <f>K19</f>
        <v>70.1</v>
      </c>
      <c r="L20" s="13"/>
      <c r="M20" s="13"/>
      <c r="N20" s="12"/>
      <c r="O20" s="14"/>
      <c r="U20" s="6"/>
      <c r="Y20" s="122"/>
      <c r="Z20" s="122"/>
      <c r="AA20" s="122"/>
      <c r="AB20" s="122"/>
      <c r="AC20" s="123"/>
      <c r="AD20" s="123"/>
      <c r="AE20" s="6"/>
      <c r="AF20" s="6"/>
      <c r="AG20" s="6"/>
    </row>
    <row r="21" spans="1:21" ht="11.25">
      <c r="A21" s="2" t="s">
        <v>13</v>
      </c>
      <c r="B21" s="2"/>
      <c r="C21" s="193"/>
      <c r="D21" s="193"/>
      <c r="E21" s="15"/>
      <c r="F21" s="16"/>
      <c r="G21" s="12"/>
      <c r="H21" s="12"/>
      <c r="I21" s="12"/>
      <c r="J21" s="12">
        <f>J20</f>
        <v>33.89767441860465</v>
      </c>
      <c r="K21" s="12">
        <f>K20</f>
        <v>70.1</v>
      </c>
      <c r="L21" s="17"/>
      <c r="M21" s="12">
        <v>0</v>
      </c>
      <c r="N21" s="12">
        <f>M21</f>
        <v>0</v>
      </c>
      <c r="O21" s="18">
        <f>((C19-C20)^2+(D19-D20)^2)^0.5*Path!$H$16</f>
        <v>571.8558139534886</v>
      </c>
      <c r="P21" s="8"/>
      <c r="Q21" s="8"/>
      <c r="R21" s="6"/>
      <c r="S21" s="8"/>
      <c r="T21" s="8"/>
      <c r="U21" s="6"/>
    </row>
    <row r="22" spans="3:32" ht="11.25">
      <c r="C22" s="192">
        <f>C19</f>
        <v>25.537209302325582</v>
      </c>
      <c r="D22" s="192">
        <f>Panels!D39</f>
        <v>51.199999999999996</v>
      </c>
      <c r="E22" s="10"/>
      <c r="F22" s="9">
        <f>IF(Design!$H$17="x",C22,0)</f>
        <v>25.537209302325582</v>
      </c>
      <c r="G22" s="9">
        <f>IF(Design!$H$17="x",D22,0)</f>
        <v>51.199999999999996</v>
      </c>
      <c r="H22" s="9">
        <f>SUM(C22:C23)/2</f>
        <v>33.89767441860465</v>
      </c>
      <c r="I22" s="9">
        <f>SUM(D22:D23)/2</f>
        <v>51.199999999999996</v>
      </c>
      <c r="J22" s="9">
        <f>IF(Design!$H$16="x",H22,0)</f>
        <v>33.89767441860465</v>
      </c>
      <c r="K22" s="9">
        <f>IF(Design!$H$16="x",I22,0)</f>
        <v>51.199999999999996</v>
      </c>
      <c r="L22" s="19"/>
      <c r="M22" s="9">
        <f aca="true" t="shared" si="0" ref="M22:O23">M21</f>
        <v>0</v>
      </c>
      <c r="N22" s="9">
        <f t="shared" si="0"/>
        <v>0</v>
      </c>
      <c r="O22" s="20">
        <f t="shared" si="0"/>
        <v>571.8558139534886</v>
      </c>
      <c r="P22" s="8"/>
      <c r="Q22" s="8"/>
      <c r="R22" s="6"/>
      <c r="S22" s="8"/>
      <c r="T22" s="8"/>
      <c r="U22" s="6"/>
      <c r="Y22" s="122"/>
      <c r="Z22" s="122"/>
      <c r="AA22" s="122"/>
      <c r="AB22" s="122"/>
      <c r="AC22" s="123"/>
      <c r="AD22" s="123"/>
      <c r="AE22" s="122"/>
      <c r="AF22" s="122"/>
    </row>
    <row r="23" spans="2:32" ht="11.25">
      <c r="B23" s="5">
        <f>B20+1</f>
        <v>2</v>
      </c>
      <c r="C23" s="192">
        <f>C20</f>
        <v>42.258139534883725</v>
      </c>
      <c r="D23" s="192">
        <f>D22</f>
        <v>51.199999999999996</v>
      </c>
      <c r="E23" s="13"/>
      <c r="F23" s="12">
        <f>IF(Design!$H$17="x",C23,0)</f>
        <v>42.258139534883725</v>
      </c>
      <c r="G23" s="12">
        <f>IF(Design!$H$17="x",D23,0)</f>
        <v>51.199999999999996</v>
      </c>
      <c r="H23" s="12"/>
      <c r="I23" s="12"/>
      <c r="J23" s="12">
        <f>J22</f>
        <v>33.89767441860465</v>
      </c>
      <c r="K23" s="12">
        <f>K22</f>
        <v>51.199999999999996</v>
      </c>
      <c r="L23" s="17"/>
      <c r="M23" s="12">
        <f t="shared" si="0"/>
        <v>0</v>
      </c>
      <c r="N23" s="12">
        <f t="shared" si="0"/>
        <v>0</v>
      </c>
      <c r="O23" s="18">
        <f t="shared" si="0"/>
        <v>571.8558139534886</v>
      </c>
      <c r="P23" s="8"/>
      <c r="Q23" s="8"/>
      <c r="R23" s="6"/>
      <c r="S23" s="8"/>
      <c r="T23" s="8"/>
      <c r="U23" s="6"/>
      <c r="Y23" s="122"/>
      <c r="Z23" s="122"/>
      <c r="AA23" s="122"/>
      <c r="AB23" s="122"/>
      <c r="AC23" s="123"/>
      <c r="AD23" s="123"/>
      <c r="AE23" s="122"/>
      <c r="AF23" s="122"/>
    </row>
    <row r="24" spans="1:33" ht="12" thickBot="1">
      <c r="A24" s="1" t="s">
        <v>32</v>
      </c>
      <c r="C24" s="276"/>
      <c r="D24" s="276"/>
      <c r="E24" s="15"/>
      <c r="F24" s="16"/>
      <c r="G24" s="12"/>
      <c r="H24" s="12"/>
      <c r="I24" s="12"/>
      <c r="J24" s="12">
        <f>J23</f>
        <v>33.89767441860465</v>
      </c>
      <c r="K24" s="12">
        <f>K23</f>
        <v>51.199999999999996</v>
      </c>
      <c r="L24" s="17"/>
      <c r="M24" s="12">
        <f>((H22-H19)^2+(I22-I19)^2)^0.5</f>
        <v>18.9</v>
      </c>
      <c r="N24" s="12">
        <f>N21+M24</f>
        <v>18.9</v>
      </c>
      <c r="O24" s="18">
        <f>((C22-C23)^2+(D22-D23)^2)^0.5*Path!$H$16</f>
        <v>571.8558139534886</v>
      </c>
      <c r="P24" s="8"/>
      <c r="Q24" s="8"/>
      <c r="R24" s="6"/>
      <c r="S24" s="8"/>
      <c r="T24" s="8"/>
      <c r="U24" s="6"/>
      <c r="AG24" s="6"/>
    </row>
    <row r="25" spans="3:32" ht="11.25">
      <c r="C25" s="277">
        <f>C22</f>
        <v>25.537209302325582</v>
      </c>
      <c r="D25" s="278">
        <f>Panels!$D$92</f>
        <v>36.54186046511629</v>
      </c>
      <c r="E25" s="279"/>
      <c r="F25" s="280">
        <f>IF(Design!$H$17="x",C25,0)</f>
        <v>25.537209302325582</v>
      </c>
      <c r="G25" s="280">
        <f>IF(Design!$H$17="x",D25,0)</f>
        <v>36.54186046511629</v>
      </c>
      <c r="H25" s="280">
        <f>SUM(C25:C26)/2</f>
        <v>33.89767441860465</v>
      </c>
      <c r="I25" s="280">
        <f>SUM(D25:D26)/2</f>
        <v>36.54186046511629</v>
      </c>
      <c r="J25" s="280">
        <f>IF(Design!$H$16="x",H25,0)</f>
        <v>33.89767441860465</v>
      </c>
      <c r="K25" s="280">
        <f>IF(Design!$H$16="x",I25,0)</f>
        <v>36.54186046511629</v>
      </c>
      <c r="L25" s="281"/>
      <c r="M25" s="280">
        <f aca="true" t="shared" si="1" ref="M25:O26">M24</f>
        <v>18.9</v>
      </c>
      <c r="N25" s="280">
        <f t="shared" si="1"/>
        <v>18.9</v>
      </c>
      <c r="O25" s="282">
        <f t="shared" si="1"/>
        <v>571.8558139534886</v>
      </c>
      <c r="P25" s="8"/>
      <c r="Q25" s="8"/>
      <c r="R25" s="6"/>
      <c r="S25" s="8"/>
      <c r="T25" s="8"/>
      <c r="U25" s="6"/>
      <c r="X25" s="2"/>
      <c r="Y25" s="6"/>
      <c r="Z25" s="6"/>
      <c r="AA25" s="6"/>
      <c r="AB25" s="6"/>
      <c r="AC25" s="6"/>
      <c r="AD25" s="6"/>
      <c r="AE25" s="6"/>
      <c r="AF25" s="6"/>
    </row>
    <row r="26" spans="2:32" ht="11.25">
      <c r="B26" s="5">
        <f>B23+1</f>
        <v>3</v>
      </c>
      <c r="C26" s="283">
        <f>C23</f>
        <v>42.258139534883725</v>
      </c>
      <c r="D26" s="192">
        <f>D25</f>
        <v>36.54186046511629</v>
      </c>
      <c r="E26" s="13"/>
      <c r="F26" s="12">
        <f>IF(Design!$H$17="x",C26,0)</f>
        <v>42.258139534883725</v>
      </c>
      <c r="G26" s="12">
        <f>IF(Design!$H$17="x",D26,0)</f>
        <v>36.54186046511629</v>
      </c>
      <c r="H26" s="12"/>
      <c r="I26" s="12"/>
      <c r="J26" s="12">
        <f>J25</f>
        <v>33.89767441860465</v>
      </c>
      <c r="K26" s="12">
        <f>K25</f>
        <v>36.54186046511629</v>
      </c>
      <c r="L26" s="17"/>
      <c r="M26" s="12">
        <f t="shared" si="1"/>
        <v>18.9</v>
      </c>
      <c r="N26" s="12">
        <f t="shared" si="1"/>
        <v>18.9</v>
      </c>
      <c r="O26" s="284">
        <f t="shared" si="1"/>
        <v>571.8558139534886</v>
      </c>
      <c r="P26" s="8"/>
      <c r="Q26" s="8"/>
      <c r="R26" s="6"/>
      <c r="S26" s="8"/>
      <c r="T26" s="8"/>
      <c r="U26" s="6"/>
      <c r="X26" s="2"/>
      <c r="Y26" s="6"/>
      <c r="Z26" s="6"/>
      <c r="AA26" s="6"/>
      <c r="AB26" s="6"/>
      <c r="AC26" s="7"/>
      <c r="AD26" s="7"/>
      <c r="AE26" s="6"/>
      <c r="AF26" s="6"/>
    </row>
    <row r="27" spans="3:21" ht="11.25">
      <c r="C27" s="285"/>
      <c r="D27" s="193"/>
      <c r="E27" s="21"/>
      <c r="F27" s="22"/>
      <c r="G27" s="23"/>
      <c r="H27" s="23"/>
      <c r="I27" s="23"/>
      <c r="J27" s="12">
        <f>J26</f>
        <v>33.89767441860465</v>
      </c>
      <c r="K27" s="12">
        <f>K26</f>
        <v>36.54186046511629</v>
      </c>
      <c r="L27" s="24"/>
      <c r="M27" s="23">
        <f>((H25-H22)^2+(I25-I22)^2)^0.5</f>
        <v>14.65813953488371</v>
      </c>
      <c r="N27" s="23">
        <f>N24+M27</f>
        <v>33.55813953488371</v>
      </c>
      <c r="O27" s="284">
        <f>((C25-C26)^2+(D25-D26)^2)^0.5*Path!$H$16</f>
        <v>571.8558139534886</v>
      </c>
      <c r="P27" s="8"/>
      <c r="Q27" s="8"/>
      <c r="R27" s="6"/>
      <c r="S27" s="8"/>
      <c r="T27" s="8"/>
      <c r="U27" s="6"/>
    </row>
    <row r="28" spans="2:21" ht="11.25">
      <c r="B28" s="2"/>
      <c r="C28" s="283">
        <f>C25</f>
        <v>25.537209302325582</v>
      </c>
      <c r="D28" s="192">
        <f>(D25+D34)/2</f>
        <v>28.181395348837214</v>
      </c>
      <c r="E28" s="10"/>
      <c r="F28" s="9">
        <f>IF(Design!$H$17="x",C28,0)</f>
        <v>25.537209302325582</v>
      </c>
      <c r="G28" s="9">
        <f>IF(Design!$H$17="x",D28,0)</f>
        <v>28.181395348837214</v>
      </c>
      <c r="H28" s="9">
        <f>SUM(C28:C29)/2</f>
        <v>33.89767441860465</v>
      </c>
      <c r="I28" s="9">
        <f>SUM(D28:D29)/2</f>
        <v>32.36162790697675</v>
      </c>
      <c r="J28" s="9">
        <f>IF(Design!$H$16="x",H28,0)</f>
        <v>33.89767441860465</v>
      </c>
      <c r="K28" s="9">
        <f>IF(Design!$H$16="x",I28,0)</f>
        <v>32.36162790697675</v>
      </c>
      <c r="L28" s="19"/>
      <c r="M28" s="9">
        <f aca="true" t="shared" si="2" ref="M28:O29">M27</f>
        <v>14.65813953488371</v>
      </c>
      <c r="N28" s="9">
        <f t="shared" si="2"/>
        <v>33.55813953488371</v>
      </c>
      <c r="O28" s="286">
        <f t="shared" si="2"/>
        <v>571.8558139534886</v>
      </c>
      <c r="P28" s="8"/>
      <c r="Q28" s="8"/>
      <c r="R28" s="6"/>
      <c r="S28" s="8"/>
      <c r="T28" s="8"/>
      <c r="U28" s="6"/>
    </row>
    <row r="29" spans="2:21" ht="11.25">
      <c r="B29" s="5">
        <f>B26+1</f>
        <v>4</v>
      </c>
      <c r="C29" s="283">
        <f>C26</f>
        <v>42.258139534883725</v>
      </c>
      <c r="D29" s="192">
        <f>D26</f>
        <v>36.54186046511629</v>
      </c>
      <c r="E29" s="13"/>
      <c r="F29" s="12">
        <f>IF(Design!$H$17="x",C29,0)</f>
        <v>42.258139534883725</v>
      </c>
      <c r="G29" s="12">
        <f>IF(Design!$H$17="x",D29,0)</f>
        <v>36.54186046511629</v>
      </c>
      <c r="H29" s="12"/>
      <c r="I29" s="12"/>
      <c r="J29" s="12">
        <f>J28</f>
        <v>33.89767441860465</v>
      </c>
      <c r="K29" s="12">
        <f>K28</f>
        <v>32.36162790697675</v>
      </c>
      <c r="L29" s="17"/>
      <c r="M29" s="12">
        <f t="shared" si="2"/>
        <v>14.65813953488371</v>
      </c>
      <c r="N29" s="12">
        <f t="shared" si="2"/>
        <v>33.55813953488371</v>
      </c>
      <c r="O29" s="284">
        <f t="shared" si="2"/>
        <v>571.8558139534886</v>
      </c>
      <c r="P29" s="8"/>
      <c r="Q29" s="8"/>
      <c r="R29" s="6"/>
      <c r="S29" s="8"/>
      <c r="T29" s="8"/>
      <c r="U29" s="6"/>
    </row>
    <row r="30" spans="2:21" ht="11.25">
      <c r="B30" s="2"/>
      <c r="C30" s="287"/>
      <c r="D30" s="193"/>
      <c r="E30" s="21"/>
      <c r="F30" s="22"/>
      <c r="G30" s="23"/>
      <c r="H30" s="23"/>
      <c r="I30" s="23"/>
      <c r="J30" s="12">
        <f>J29</f>
        <v>33.89767441860465</v>
      </c>
      <c r="K30" s="12">
        <f>K29</f>
        <v>32.36162790697675</v>
      </c>
      <c r="L30" s="24"/>
      <c r="M30" s="23">
        <f>((H28-H25)^2+(I28-I25)^2)^0.5</f>
        <v>4.1802325581395365</v>
      </c>
      <c r="N30" s="23">
        <f>N27+M30</f>
        <v>37.738372093023244</v>
      </c>
      <c r="O30" s="284">
        <f>((C28-C29)^2+(D28-D29)^2)^0.5*Path!$H$16</f>
        <v>639.3542366642365</v>
      </c>
      <c r="P30" s="8"/>
      <c r="Q30" s="8"/>
      <c r="R30" s="6"/>
      <c r="S30" s="8"/>
      <c r="T30" s="8"/>
      <c r="U30" s="6"/>
    </row>
    <row r="31" spans="2:21" ht="11.25">
      <c r="B31" s="2"/>
      <c r="C31" s="283">
        <f>(C28+C29)/2</f>
        <v>33.89767441860465</v>
      </c>
      <c r="D31" s="192">
        <f>D34</f>
        <v>19.82093023255814</v>
      </c>
      <c r="E31" s="10"/>
      <c r="F31" s="9">
        <f>IF(Design!$H$17="x",C31,0)</f>
        <v>33.89767441860465</v>
      </c>
      <c r="G31" s="9">
        <f>IF(Design!$H$17="x",D31,0)</f>
        <v>19.82093023255814</v>
      </c>
      <c r="H31" s="9">
        <f>SUM(C31:C32)/2</f>
        <v>38.07790697674419</v>
      </c>
      <c r="I31" s="9">
        <f>SUM(D31:D32)/2</f>
        <v>28.181395348837214</v>
      </c>
      <c r="J31" s="9">
        <f>IF(Design!$H$16="x",H31,0)</f>
        <v>38.07790697674419</v>
      </c>
      <c r="K31" s="9">
        <f>IF(Design!$H$16="x",I31,0)</f>
        <v>28.181395348837214</v>
      </c>
      <c r="L31" s="19"/>
      <c r="M31" s="9">
        <f aca="true" t="shared" si="3" ref="M31:O32">M30</f>
        <v>4.1802325581395365</v>
      </c>
      <c r="N31" s="9">
        <f t="shared" si="3"/>
        <v>37.738372093023244</v>
      </c>
      <c r="O31" s="286">
        <f t="shared" si="3"/>
        <v>639.3542366642365</v>
      </c>
      <c r="P31" s="8"/>
      <c r="Q31" s="8"/>
      <c r="R31" s="6"/>
      <c r="S31" s="8"/>
      <c r="T31" s="8"/>
      <c r="U31" s="6"/>
    </row>
    <row r="32" spans="2:21" ht="11.25">
      <c r="B32" s="5">
        <f>B29+1</f>
        <v>5</v>
      </c>
      <c r="C32" s="283">
        <f>C29</f>
        <v>42.258139534883725</v>
      </c>
      <c r="D32" s="192">
        <f>D29</f>
        <v>36.54186046511629</v>
      </c>
      <c r="E32" s="13"/>
      <c r="F32" s="12">
        <f>IF(Design!$H$17="x",C32,0)</f>
        <v>42.258139534883725</v>
      </c>
      <c r="G32" s="12">
        <f>IF(Design!$H$17="x",D32,0)</f>
        <v>36.54186046511629</v>
      </c>
      <c r="H32" s="12"/>
      <c r="I32" s="12"/>
      <c r="J32" s="12">
        <f>J31</f>
        <v>38.07790697674419</v>
      </c>
      <c r="K32" s="12">
        <f>K31</f>
        <v>28.181395348837214</v>
      </c>
      <c r="L32" s="17"/>
      <c r="M32" s="12">
        <f t="shared" si="3"/>
        <v>4.1802325581395365</v>
      </c>
      <c r="N32" s="12">
        <f t="shared" si="3"/>
        <v>37.738372093023244</v>
      </c>
      <c r="O32" s="284">
        <f t="shared" si="3"/>
        <v>639.3542366642365</v>
      </c>
      <c r="P32" s="8"/>
      <c r="Q32" s="8"/>
      <c r="R32" s="6"/>
      <c r="S32" s="8"/>
      <c r="T32" s="8"/>
      <c r="U32" s="6"/>
    </row>
    <row r="33" spans="2:21" ht="11.25">
      <c r="B33" s="2"/>
      <c r="C33" s="287"/>
      <c r="D33" s="193"/>
      <c r="E33" s="21"/>
      <c r="F33" s="22"/>
      <c r="G33" s="23"/>
      <c r="H33" s="23"/>
      <c r="I33" s="23"/>
      <c r="J33" s="12">
        <f>J32</f>
        <v>38.07790697674419</v>
      </c>
      <c r="K33" s="12">
        <f>K32</f>
        <v>28.181395348837214</v>
      </c>
      <c r="L33" s="24"/>
      <c r="M33" s="23">
        <f>((H31-H28)^2+(I31-I28)^2)^0.5</f>
        <v>5.91174157759451</v>
      </c>
      <c r="N33" s="23">
        <f>N30+M33</f>
        <v>43.650113670617756</v>
      </c>
      <c r="O33" s="284">
        <f>((C31-C32)^2+(D31-D32)^2)^0.5*Path!$H$16</f>
        <v>639.3542366642366</v>
      </c>
      <c r="P33" s="8"/>
      <c r="Q33" s="8"/>
      <c r="R33" s="6"/>
      <c r="S33" s="8"/>
      <c r="T33" s="8"/>
      <c r="U33" s="6"/>
    </row>
    <row r="34" spans="2:21" ht="11.25">
      <c r="B34" s="2"/>
      <c r="C34" s="283">
        <f>C35</f>
        <v>42.258139534883725</v>
      </c>
      <c r="D34" s="192">
        <f>Panels!$D$79</f>
        <v>19.82093023255814</v>
      </c>
      <c r="E34" s="10"/>
      <c r="F34" s="9">
        <f>IF(Design!$H$17="x",C34,0)</f>
        <v>42.258139534883725</v>
      </c>
      <c r="G34" s="9">
        <f>IF(Design!$H$17="x",D34,0)</f>
        <v>19.82093023255814</v>
      </c>
      <c r="H34" s="9">
        <f>SUM(C34:C35)/2</f>
        <v>42.258139534883725</v>
      </c>
      <c r="I34" s="9">
        <f>SUM(D34:D35)/2</f>
        <v>28.181395348837214</v>
      </c>
      <c r="J34" s="9">
        <f>IF(Design!$H$16="x",H34,0)</f>
        <v>42.258139534883725</v>
      </c>
      <c r="K34" s="9">
        <f>IF(Design!$H$16="x",I34,0)</f>
        <v>28.181395348837214</v>
      </c>
      <c r="L34" s="19"/>
      <c r="M34" s="9">
        <f aca="true" t="shared" si="4" ref="M34:O35">M33</f>
        <v>5.91174157759451</v>
      </c>
      <c r="N34" s="9">
        <f t="shared" si="4"/>
        <v>43.650113670617756</v>
      </c>
      <c r="O34" s="286">
        <f t="shared" si="4"/>
        <v>639.3542366642366</v>
      </c>
      <c r="P34" s="8"/>
      <c r="Q34" s="8"/>
      <c r="R34" s="6"/>
      <c r="S34" s="8"/>
      <c r="T34" s="8"/>
      <c r="U34" s="6"/>
    </row>
    <row r="35" spans="2:21" ht="11.25">
      <c r="B35" s="5">
        <f>B32+1</f>
        <v>6</v>
      </c>
      <c r="C35" s="283">
        <f>C32</f>
        <v>42.258139534883725</v>
      </c>
      <c r="D35" s="192">
        <f>D32</f>
        <v>36.54186046511629</v>
      </c>
      <c r="E35" s="13"/>
      <c r="F35" s="12">
        <f>IF(Design!$H$17="x",C35,0)</f>
        <v>42.258139534883725</v>
      </c>
      <c r="G35" s="12">
        <f>IF(Design!$H$17="x",D35,0)</f>
        <v>36.54186046511629</v>
      </c>
      <c r="H35" s="12"/>
      <c r="I35" s="12"/>
      <c r="J35" s="12">
        <f>J34</f>
        <v>42.258139534883725</v>
      </c>
      <c r="K35" s="12">
        <f>K34</f>
        <v>28.181395348837214</v>
      </c>
      <c r="L35" s="17"/>
      <c r="M35" s="12">
        <f t="shared" si="4"/>
        <v>5.91174157759451</v>
      </c>
      <c r="N35" s="12">
        <f t="shared" si="4"/>
        <v>43.650113670617756</v>
      </c>
      <c r="O35" s="284">
        <f t="shared" si="4"/>
        <v>639.3542366642366</v>
      </c>
      <c r="P35" s="8"/>
      <c r="Q35" s="8"/>
      <c r="R35" s="6"/>
      <c r="S35" s="8"/>
      <c r="T35" s="8"/>
      <c r="U35" s="6"/>
    </row>
    <row r="36" spans="2:21" ht="12" thickBot="1">
      <c r="B36" s="2"/>
      <c r="C36" s="288"/>
      <c r="D36" s="289"/>
      <c r="E36" s="290"/>
      <c r="F36" s="291"/>
      <c r="G36" s="292"/>
      <c r="H36" s="292"/>
      <c r="I36" s="292"/>
      <c r="J36" s="292">
        <f>J35</f>
        <v>42.258139534883725</v>
      </c>
      <c r="K36" s="292">
        <f>K35</f>
        <v>28.181395348837214</v>
      </c>
      <c r="L36" s="293"/>
      <c r="M36" s="292">
        <f>((H34-H31)^2+(I34-I31)^2)^0.5</f>
        <v>4.1802325581395365</v>
      </c>
      <c r="N36" s="292">
        <f>N33+M36</f>
        <v>47.83034622875729</v>
      </c>
      <c r="O36" s="294">
        <f>((C34-C35)^2+(D34-D35)^2)^0.5*Path!$H$16</f>
        <v>571.8558139534887</v>
      </c>
      <c r="P36" s="8"/>
      <c r="Q36" s="8"/>
      <c r="R36" s="6"/>
      <c r="S36" s="8"/>
      <c r="T36" s="8"/>
      <c r="U36" s="6"/>
    </row>
    <row r="37" spans="2:21" ht="11.25">
      <c r="B37" s="2"/>
      <c r="C37" s="277">
        <f>C38</f>
        <v>43.45813953488373</v>
      </c>
      <c r="D37" s="278">
        <f>D34</f>
        <v>19.82093023255814</v>
      </c>
      <c r="E37" s="279"/>
      <c r="F37" s="280">
        <f>IF(Design!$H$17="x",C37,0)</f>
        <v>43.45813953488373</v>
      </c>
      <c r="G37" s="280">
        <f>IF(Design!$H$17="x",D37,0)</f>
        <v>19.82093023255814</v>
      </c>
      <c r="H37" s="280">
        <f>SUM(C37:C38)/2</f>
        <v>43.45813953488373</v>
      </c>
      <c r="I37" s="280">
        <f>SUM(D37:D38)/2</f>
        <v>28.181395348837214</v>
      </c>
      <c r="J37" s="280">
        <f>IF(Design!$H$16="x",H37,0)</f>
        <v>43.45813953488373</v>
      </c>
      <c r="K37" s="280">
        <f>IF(Design!$H$16="x",I37,0)</f>
        <v>28.181395348837214</v>
      </c>
      <c r="L37" s="281"/>
      <c r="M37" s="280">
        <f aca="true" t="shared" si="5" ref="M37:O38">M36</f>
        <v>4.1802325581395365</v>
      </c>
      <c r="N37" s="280">
        <f t="shared" si="5"/>
        <v>47.83034622875729</v>
      </c>
      <c r="O37" s="282">
        <f t="shared" si="5"/>
        <v>571.8558139534887</v>
      </c>
      <c r="P37" s="8"/>
      <c r="Q37" s="8"/>
      <c r="R37" s="6"/>
      <c r="S37" s="8"/>
      <c r="T37" s="8"/>
      <c r="U37" s="6"/>
    </row>
    <row r="38" spans="2:21" ht="11.25">
      <c r="B38" s="5">
        <f>B35+1</f>
        <v>7</v>
      </c>
      <c r="C38" s="283">
        <f>Panels!C92</f>
        <v>43.45813953488373</v>
      </c>
      <c r="D38" s="192">
        <f>Panels!D92</f>
        <v>36.54186046511629</v>
      </c>
      <c r="E38" s="13"/>
      <c r="F38" s="12">
        <f>IF(Design!$H$17="x",C38,0)</f>
        <v>43.45813953488373</v>
      </c>
      <c r="G38" s="12">
        <f>IF(Design!$H$17="x",D38,0)</f>
        <v>36.54186046511629</v>
      </c>
      <c r="H38" s="12"/>
      <c r="I38" s="12"/>
      <c r="J38" s="12">
        <f>J37</f>
        <v>43.45813953488373</v>
      </c>
      <c r="K38" s="12">
        <f>K37</f>
        <v>28.181395348837214</v>
      </c>
      <c r="L38" s="17"/>
      <c r="M38" s="12">
        <f t="shared" si="5"/>
        <v>4.1802325581395365</v>
      </c>
      <c r="N38" s="12">
        <f t="shared" si="5"/>
        <v>47.83034622875729</v>
      </c>
      <c r="O38" s="284">
        <f t="shared" si="5"/>
        <v>571.8558139534887</v>
      </c>
      <c r="P38" s="8"/>
      <c r="Q38" s="8"/>
      <c r="R38" s="6"/>
      <c r="S38" s="8"/>
      <c r="T38" s="8"/>
      <c r="U38" s="6"/>
    </row>
    <row r="39" spans="2:21" ht="11.25">
      <c r="B39" s="2"/>
      <c r="C39" s="285"/>
      <c r="D39" s="193"/>
      <c r="E39" s="21"/>
      <c r="F39" s="22"/>
      <c r="G39" s="23"/>
      <c r="H39" s="23"/>
      <c r="I39" s="23"/>
      <c r="J39" s="12">
        <f>J38</f>
        <v>43.45813953488373</v>
      </c>
      <c r="K39" s="12">
        <f>K38</f>
        <v>28.181395348837214</v>
      </c>
      <c r="L39" s="24"/>
      <c r="M39" s="23">
        <f>((H37-H34)^2+(I37-I34)^2)^0.5</f>
        <v>1.2000000000000028</v>
      </c>
      <c r="N39" s="23">
        <f>N36+M39</f>
        <v>49.030346228757296</v>
      </c>
      <c r="O39" s="284">
        <f>((C37-C38)^2+(D37-D38)^2)^0.5*Path!$H$16</f>
        <v>571.8558139534887</v>
      </c>
      <c r="P39" s="8"/>
      <c r="Q39" s="8"/>
      <c r="R39" s="6"/>
      <c r="S39" s="8"/>
      <c r="T39" s="8"/>
      <c r="U39" s="6"/>
    </row>
    <row r="40" spans="2:21" ht="11.25">
      <c r="B40" s="2"/>
      <c r="C40" s="283">
        <f>(C38+C43)/2</f>
        <v>51.8186046511628</v>
      </c>
      <c r="D40" s="192">
        <f>D37</f>
        <v>19.82093023255814</v>
      </c>
      <c r="E40" s="10"/>
      <c r="F40" s="9">
        <f>IF(Design!$H$17="x",C40,0)</f>
        <v>51.8186046511628</v>
      </c>
      <c r="G40" s="9">
        <f>IF(Design!$H$17="x",D40,0)</f>
        <v>19.82093023255814</v>
      </c>
      <c r="H40" s="9">
        <f>SUM(C40:C41)/2</f>
        <v>47.638372093023264</v>
      </c>
      <c r="I40" s="9">
        <f>SUM(D40:D41)/2</f>
        <v>28.181395348837214</v>
      </c>
      <c r="J40" s="9">
        <f>IF(Design!$H$16="x",H40,0)</f>
        <v>47.638372093023264</v>
      </c>
      <c r="K40" s="9">
        <f>IF(Design!$H$16="x",I40,0)</f>
        <v>28.181395348837214</v>
      </c>
      <c r="L40" s="19"/>
      <c r="M40" s="9">
        <f aca="true" t="shared" si="6" ref="M40:O41">M39</f>
        <v>1.2000000000000028</v>
      </c>
      <c r="N40" s="9">
        <f t="shared" si="6"/>
        <v>49.030346228757296</v>
      </c>
      <c r="O40" s="286">
        <f t="shared" si="6"/>
        <v>571.8558139534887</v>
      </c>
      <c r="P40" s="8"/>
      <c r="Q40" s="8"/>
      <c r="R40" s="6"/>
      <c r="S40" s="8"/>
      <c r="T40" s="8"/>
      <c r="U40" s="6"/>
    </row>
    <row r="41" spans="2:21" ht="11.25">
      <c r="B41" s="5">
        <f>B38+1</f>
        <v>8</v>
      </c>
      <c r="C41" s="283">
        <f>C38</f>
        <v>43.45813953488373</v>
      </c>
      <c r="D41" s="192">
        <f>D38</f>
        <v>36.54186046511629</v>
      </c>
      <c r="E41" s="13"/>
      <c r="F41" s="12">
        <f>IF(Design!$H$17="x",C41,0)</f>
        <v>43.45813953488373</v>
      </c>
      <c r="G41" s="12">
        <f>IF(Design!$H$17="x",D41,0)</f>
        <v>36.54186046511629</v>
      </c>
      <c r="H41" s="12"/>
      <c r="I41" s="12"/>
      <c r="J41" s="12">
        <f>J40</f>
        <v>47.638372093023264</v>
      </c>
      <c r="K41" s="12">
        <f>K40</f>
        <v>28.181395348837214</v>
      </c>
      <c r="L41" s="17"/>
      <c r="M41" s="12">
        <f t="shared" si="6"/>
        <v>1.2000000000000028</v>
      </c>
      <c r="N41" s="12">
        <f t="shared" si="6"/>
        <v>49.030346228757296</v>
      </c>
      <c r="O41" s="284">
        <f t="shared" si="6"/>
        <v>571.8558139534887</v>
      </c>
      <c r="P41" s="8"/>
      <c r="Q41" s="8"/>
      <c r="R41" s="6"/>
      <c r="S41" s="8"/>
      <c r="T41" s="8"/>
      <c r="U41" s="6"/>
    </row>
    <row r="42" spans="2:21" ht="11.25">
      <c r="B42" s="2"/>
      <c r="C42" s="285"/>
      <c r="D42" s="193"/>
      <c r="E42" s="21"/>
      <c r="F42" s="22"/>
      <c r="G42" s="23"/>
      <c r="H42" s="23"/>
      <c r="I42" s="23"/>
      <c r="J42" s="12">
        <f>J41</f>
        <v>47.638372093023264</v>
      </c>
      <c r="K42" s="12">
        <f>K41</f>
        <v>28.181395348837214</v>
      </c>
      <c r="L42" s="24"/>
      <c r="M42" s="23">
        <f>((H40-H37)^2+(I40-I37)^2)^0.5</f>
        <v>4.1802325581395365</v>
      </c>
      <c r="N42" s="23">
        <f>N39+M42</f>
        <v>53.21057878689683</v>
      </c>
      <c r="O42" s="284">
        <f>((C40-C41)^2+(D40-D41)^2)^0.5*Path!$H$16</f>
        <v>639.3542366642366</v>
      </c>
      <c r="P42" s="8"/>
      <c r="Q42" s="8"/>
      <c r="R42" s="6"/>
      <c r="S42" s="8"/>
      <c r="T42" s="8"/>
      <c r="U42" s="6"/>
    </row>
    <row r="43" spans="2:21" ht="11.25">
      <c r="B43" s="2"/>
      <c r="C43" s="283">
        <f>C46</f>
        <v>60.179069767441874</v>
      </c>
      <c r="D43" s="192">
        <f>(D37+D46)/2</f>
        <v>28.181395348837214</v>
      </c>
      <c r="E43" s="10"/>
      <c r="F43" s="9">
        <f>IF(Design!$H$17="x",C43,0)</f>
        <v>60.179069767441874</v>
      </c>
      <c r="G43" s="9">
        <f>IF(Design!$H$17="x",D43,0)</f>
        <v>28.181395348837214</v>
      </c>
      <c r="H43" s="9">
        <f>SUM(C43:C44)/2</f>
        <v>51.8186046511628</v>
      </c>
      <c r="I43" s="9">
        <f>SUM(D43:D44)/2</f>
        <v>32.36162790697675</v>
      </c>
      <c r="J43" s="9">
        <f>IF(Design!$H$16="x",H43,0)</f>
        <v>51.8186046511628</v>
      </c>
      <c r="K43" s="9">
        <f>IF(Design!$H$16="x",I43,0)</f>
        <v>32.36162790697675</v>
      </c>
      <c r="L43" s="19"/>
      <c r="M43" s="9">
        <f aca="true" t="shared" si="7" ref="M43:O44">M42</f>
        <v>4.1802325581395365</v>
      </c>
      <c r="N43" s="9">
        <f t="shared" si="7"/>
        <v>53.21057878689683</v>
      </c>
      <c r="O43" s="286">
        <f t="shared" si="7"/>
        <v>639.3542366642366</v>
      </c>
      <c r="P43" s="8"/>
      <c r="Q43" s="8"/>
      <c r="R43" s="6"/>
      <c r="S43" s="8"/>
      <c r="T43" s="8"/>
      <c r="U43" s="6"/>
    </row>
    <row r="44" spans="2:21" ht="11.25">
      <c r="B44" s="5">
        <f>B41+1</f>
        <v>9</v>
      </c>
      <c r="C44" s="283">
        <f>C41</f>
        <v>43.45813953488373</v>
      </c>
      <c r="D44" s="192">
        <f>D41</f>
        <v>36.54186046511629</v>
      </c>
      <c r="E44" s="13"/>
      <c r="F44" s="12">
        <f>IF(Design!$H$17="x",C44,0)</f>
        <v>43.45813953488373</v>
      </c>
      <c r="G44" s="12">
        <f>IF(Design!$H$17="x",D44,0)</f>
        <v>36.54186046511629</v>
      </c>
      <c r="H44" s="12"/>
      <c r="I44" s="12"/>
      <c r="J44" s="12">
        <f>J43</f>
        <v>51.8186046511628</v>
      </c>
      <c r="K44" s="12">
        <f>K43</f>
        <v>32.36162790697675</v>
      </c>
      <c r="L44" s="17"/>
      <c r="M44" s="12">
        <f t="shared" si="7"/>
        <v>4.1802325581395365</v>
      </c>
      <c r="N44" s="12">
        <f t="shared" si="7"/>
        <v>53.21057878689683</v>
      </c>
      <c r="O44" s="284">
        <f t="shared" si="7"/>
        <v>639.3542366642366</v>
      </c>
      <c r="P44" s="8"/>
      <c r="Q44" s="8"/>
      <c r="R44" s="6"/>
      <c r="S44" s="8"/>
      <c r="T44" s="8"/>
      <c r="U44" s="6"/>
    </row>
    <row r="45" spans="2:21" ht="11.25">
      <c r="B45" s="2"/>
      <c r="C45" s="287"/>
      <c r="D45" s="194"/>
      <c r="E45" s="21"/>
      <c r="F45" s="22"/>
      <c r="G45" s="23"/>
      <c r="H45" s="23"/>
      <c r="I45" s="23"/>
      <c r="J45" s="12">
        <f>J44</f>
        <v>51.8186046511628</v>
      </c>
      <c r="K45" s="12">
        <f>K44</f>
        <v>32.36162790697675</v>
      </c>
      <c r="L45" s="24"/>
      <c r="M45" s="23">
        <f>((H43-H40)^2+(I43-I40)^2)^0.5</f>
        <v>5.91174157759451</v>
      </c>
      <c r="N45" s="23">
        <f>N42+M45</f>
        <v>59.122320364491344</v>
      </c>
      <c r="O45" s="284">
        <f>((C43-C44)^2+(D43-D44)^2)^0.5*Path!$H$16</f>
        <v>639.3542366642366</v>
      </c>
      <c r="P45" s="8"/>
      <c r="Q45" s="8"/>
      <c r="R45" s="6"/>
      <c r="S45" s="8"/>
      <c r="T45" s="8"/>
      <c r="U45" s="6"/>
    </row>
    <row r="46" spans="2:21" ht="11.25">
      <c r="B46" s="2"/>
      <c r="C46" s="283">
        <f>Panels!C84</f>
        <v>60.179069767441874</v>
      </c>
      <c r="D46" s="192">
        <f>D47</f>
        <v>36.54186046511629</v>
      </c>
      <c r="E46" s="10"/>
      <c r="F46" s="9">
        <f>IF(Design!$H$17="x",C46,0)</f>
        <v>60.179069767441874</v>
      </c>
      <c r="G46" s="9">
        <f>IF(Design!$H$17="x",D46,0)</f>
        <v>36.54186046511629</v>
      </c>
      <c r="H46" s="9">
        <f>SUM(C46:C47)/2</f>
        <v>51.8186046511628</v>
      </c>
      <c r="I46" s="9">
        <f>SUM(D46:D47)/2</f>
        <v>36.54186046511629</v>
      </c>
      <c r="J46" s="9">
        <f>IF(Design!$H$16="x",H46,0)</f>
        <v>51.8186046511628</v>
      </c>
      <c r="K46" s="9">
        <f>IF(Design!$H$16="x",I46,0)</f>
        <v>36.54186046511629</v>
      </c>
      <c r="L46" s="19"/>
      <c r="M46" s="9">
        <f aca="true" t="shared" si="8" ref="M46:O47">M45</f>
        <v>5.91174157759451</v>
      </c>
      <c r="N46" s="9">
        <f t="shared" si="8"/>
        <v>59.122320364491344</v>
      </c>
      <c r="O46" s="286">
        <f t="shared" si="8"/>
        <v>639.3542366642366</v>
      </c>
      <c r="P46" s="8"/>
      <c r="Q46" s="8"/>
      <c r="R46" s="6"/>
      <c r="S46" s="8"/>
      <c r="T46" s="8"/>
      <c r="U46" s="6"/>
    </row>
    <row r="47" spans="2:21" ht="11.25">
      <c r="B47" s="5">
        <f>B44+1</f>
        <v>10</v>
      </c>
      <c r="C47" s="283">
        <f>C44</f>
        <v>43.45813953488373</v>
      </c>
      <c r="D47" s="192">
        <f>D44</f>
        <v>36.54186046511629</v>
      </c>
      <c r="E47" s="13"/>
      <c r="F47" s="12">
        <f>IF(Design!$H$17="x",C47,0)</f>
        <v>43.45813953488373</v>
      </c>
      <c r="G47" s="12">
        <f>IF(Design!$H$17="x",D47,0)</f>
        <v>36.54186046511629</v>
      </c>
      <c r="H47" s="12"/>
      <c r="I47" s="12"/>
      <c r="J47" s="12">
        <f>J46</f>
        <v>51.8186046511628</v>
      </c>
      <c r="K47" s="12">
        <f>K46</f>
        <v>36.54186046511629</v>
      </c>
      <c r="L47" s="17"/>
      <c r="M47" s="12">
        <f t="shared" si="8"/>
        <v>5.91174157759451</v>
      </c>
      <c r="N47" s="12">
        <f t="shared" si="8"/>
        <v>59.122320364491344</v>
      </c>
      <c r="O47" s="284">
        <f t="shared" si="8"/>
        <v>639.3542366642366</v>
      </c>
      <c r="P47" s="8"/>
      <c r="Q47" s="8"/>
      <c r="R47" s="6"/>
      <c r="S47" s="8"/>
      <c r="T47" s="8"/>
      <c r="U47" s="6"/>
    </row>
    <row r="48" spans="2:21" ht="12" thickBot="1">
      <c r="B48" s="2"/>
      <c r="C48" s="295"/>
      <c r="D48" s="289"/>
      <c r="E48" s="290"/>
      <c r="F48" s="291"/>
      <c r="G48" s="292"/>
      <c r="H48" s="292"/>
      <c r="I48" s="292"/>
      <c r="J48" s="292">
        <f>J47</f>
        <v>51.8186046511628</v>
      </c>
      <c r="K48" s="292">
        <f>K47</f>
        <v>36.54186046511629</v>
      </c>
      <c r="L48" s="293"/>
      <c r="M48" s="292">
        <f>((H46-H43)^2+(I46-I43)^2)^0.5</f>
        <v>4.1802325581395365</v>
      </c>
      <c r="N48" s="292">
        <f>N45+M48</f>
        <v>63.30255292263088</v>
      </c>
      <c r="O48" s="294">
        <f>((C46-C47)^2+(D46-D47)^2)^0.5*Path!$H$16</f>
        <v>571.8558139534887</v>
      </c>
      <c r="P48" s="8"/>
      <c r="Q48" s="8"/>
      <c r="R48" s="6"/>
      <c r="S48" s="8"/>
      <c r="T48" s="8"/>
      <c r="U48" s="6"/>
    </row>
    <row r="49" spans="2:21" ht="11.25">
      <c r="B49" s="2"/>
      <c r="C49" s="277">
        <f>Panels!$C$92</f>
        <v>43.45813953488373</v>
      </c>
      <c r="D49" s="278">
        <f>Panels!D87</f>
        <v>53.37906976744185</v>
      </c>
      <c r="E49" s="279"/>
      <c r="F49" s="280">
        <f>IF(Design!$H$17="x",C49,0)</f>
        <v>43.45813953488373</v>
      </c>
      <c r="G49" s="280">
        <f>IF(Design!$H$17="x",D49,0)</f>
        <v>53.37906976744185</v>
      </c>
      <c r="H49" s="280">
        <f>SUM(C49:C50)/2</f>
        <v>51.8186046511628</v>
      </c>
      <c r="I49" s="280">
        <f>SUM(D49:D50)/2</f>
        <v>53.37906976744185</v>
      </c>
      <c r="J49" s="280">
        <f>IF(Design!$H$16="x",H49,0)</f>
        <v>51.8186046511628</v>
      </c>
      <c r="K49" s="280">
        <f>IF(Design!$H$16="x",I49,0)</f>
        <v>53.37906976744185</v>
      </c>
      <c r="L49" s="281"/>
      <c r="M49" s="280">
        <f aca="true" t="shared" si="9" ref="M49:O50">M48</f>
        <v>4.1802325581395365</v>
      </c>
      <c r="N49" s="280">
        <f t="shared" si="9"/>
        <v>63.30255292263088</v>
      </c>
      <c r="O49" s="282">
        <f t="shared" si="9"/>
        <v>571.8558139534887</v>
      </c>
      <c r="P49" s="8"/>
      <c r="Q49" s="8"/>
      <c r="R49" s="6"/>
      <c r="S49" s="8"/>
      <c r="T49" s="8"/>
      <c r="U49" s="6"/>
    </row>
    <row r="50" spans="2:21" ht="11.25">
      <c r="B50" s="5">
        <f>B47+1</f>
        <v>11</v>
      </c>
      <c r="C50" s="283">
        <f>Panels!C87</f>
        <v>60.179069767441874</v>
      </c>
      <c r="D50" s="192">
        <f>D49</f>
        <v>53.37906976744185</v>
      </c>
      <c r="E50" s="13"/>
      <c r="F50" s="12">
        <f>IF(Design!$H$17="x",C50,0)</f>
        <v>60.179069767441874</v>
      </c>
      <c r="G50" s="12">
        <f>IF(Design!$H$17="x",D50,0)</f>
        <v>53.37906976744185</v>
      </c>
      <c r="H50" s="12"/>
      <c r="I50" s="12"/>
      <c r="J50" s="12">
        <f>J49</f>
        <v>51.8186046511628</v>
      </c>
      <c r="K50" s="12">
        <f>K49</f>
        <v>53.37906976744185</v>
      </c>
      <c r="L50" s="17"/>
      <c r="M50" s="12">
        <f t="shared" si="9"/>
        <v>4.1802325581395365</v>
      </c>
      <c r="N50" s="12">
        <f t="shared" si="9"/>
        <v>63.30255292263088</v>
      </c>
      <c r="O50" s="284">
        <f t="shared" si="9"/>
        <v>571.8558139534887</v>
      </c>
      <c r="P50" s="8"/>
      <c r="Q50" s="8"/>
      <c r="R50" s="6"/>
      <c r="S50" s="8"/>
      <c r="T50" s="8"/>
      <c r="U50" s="6"/>
    </row>
    <row r="51" spans="2:21" ht="11.25">
      <c r="B51" s="2"/>
      <c r="C51" s="287"/>
      <c r="D51" s="194"/>
      <c r="E51" s="21"/>
      <c r="F51" s="22"/>
      <c r="G51" s="23"/>
      <c r="H51" s="23"/>
      <c r="I51" s="23"/>
      <c r="J51" s="12">
        <f>J50</f>
        <v>51.8186046511628</v>
      </c>
      <c r="K51" s="12">
        <f>K50</f>
        <v>53.37906976744185</v>
      </c>
      <c r="L51" s="24"/>
      <c r="M51" s="23">
        <f>((H49-H46)^2+(I49-I46)^2)^0.5</f>
        <v>16.83720930232556</v>
      </c>
      <c r="N51" s="23">
        <f>N48+M51</f>
        <v>80.13976222495644</v>
      </c>
      <c r="O51" s="284">
        <f>((C49-C50)^2+(D49-D50)^2)^0.5*Path!$H$16</f>
        <v>571.8558139534887</v>
      </c>
      <c r="P51" s="8"/>
      <c r="Q51" s="8"/>
      <c r="R51" s="6"/>
      <c r="S51" s="8"/>
      <c r="T51" s="8"/>
      <c r="U51" s="6"/>
    </row>
    <row r="52" spans="2:21" ht="11.25">
      <c r="B52" s="2"/>
      <c r="C52" s="283">
        <f>C49</f>
        <v>43.45813953488373</v>
      </c>
      <c r="D52" s="192">
        <f>(D49+D58)/2</f>
        <v>61.73953488372092</v>
      </c>
      <c r="E52" s="10"/>
      <c r="F52" s="9">
        <f>IF(Design!$H$17="x",C52,0)</f>
        <v>43.45813953488373</v>
      </c>
      <c r="G52" s="9">
        <f>IF(Design!$H$17="x",D52,0)</f>
        <v>61.73953488372092</v>
      </c>
      <c r="H52" s="9">
        <f>SUM(C52:C53)/2</f>
        <v>51.8186046511628</v>
      </c>
      <c r="I52" s="9">
        <f>SUM(D52:D53)/2</f>
        <v>57.559302325581385</v>
      </c>
      <c r="J52" s="9">
        <f>IF(Design!$H$16="x",H52,0)</f>
        <v>51.8186046511628</v>
      </c>
      <c r="K52" s="9">
        <f>IF(Design!$H$16="x",I52,0)</f>
        <v>57.559302325581385</v>
      </c>
      <c r="L52" s="19"/>
      <c r="M52" s="9">
        <f aca="true" t="shared" si="10" ref="M52:O53">M51</f>
        <v>16.83720930232556</v>
      </c>
      <c r="N52" s="9">
        <f t="shared" si="10"/>
        <v>80.13976222495644</v>
      </c>
      <c r="O52" s="286">
        <f t="shared" si="10"/>
        <v>571.8558139534887</v>
      </c>
      <c r="P52" s="8"/>
      <c r="Q52" s="8"/>
      <c r="R52" s="6"/>
      <c r="S52" s="8"/>
      <c r="T52" s="8"/>
      <c r="U52" s="6"/>
    </row>
    <row r="53" spans="2:21" ht="11.25">
      <c r="B53" s="5">
        <f>B50+1</f>
        <v>12</v>
      </c>
      <c r="C53" s="283">
        <f>C50</f>
        <v>60.179069767441874</v>
      </c>
      <c r="D53" s="192">
        <f>D50</f>
        <v>53.37906976744185</v>
      </c>
      <c r="E53" s="13"/>
      <c r="F53" s="12">
        <f>IF(Design!$H$17="x",C53,0)</f>
        <v>60.179069767441874</v>
      </c>
      <c r="G53" s="12">
        <f>IF(Design!$H$17="x",D53,0)</f>
        <v>53.37906976744185</v>
      </c>
      <c r="H53" s="12"/>
      <c r="I53" s="12"/>
      <c r="J53" s="12">
        <f>J52</f>
        <v>51.8186046511628</v>
      </c>
      <c r="K53" s="12">
        <f>K52</f>
        <v>57.559302325581385</v>
      </c>
      <c r="L53" s="17"/>
      <c r="M53" s="12">
        <f t="shared" si="10"/>
        <v>16.83720930232556</v>
      </c>
      <c r="N53" s="12">
        <f t="shared" si="10"/>
        <v>80.13976222495644</v>
      </c>
      <c r="O53" s="284">
        <f t="shared" si="10"/>
        <v>571.8558139534887</v>
      </c>
      <c r="P53" s="8"/>
      <c r="Q53" s="8"/>
      <c r="R53" s="6"/>
      <c r="S53" s="8"/>
      <c r="T53" s="8"/>
      <c r="U53" s="6"/>
    </row>
    <row r="54" spans="2:21" ht="11.25">
      <c r="B54" s="2"/>
      <c r="C54" s="287"/>
      <c r="D54" s="194"/>
      <c r="E54" s="21"/>
      <c r="F54" s="22"/>
      <c r="G54" s="23"/>
      <c r="H54" s="23"/>
      <c r="I54" s="23"/>
      <c r="J54" s="12">
        <f>J53</f>
        <v>51.8186046511628</v>
      </c>
      <c r="K54" s="12">
        <f>K53</f>
        <v>57.559302325581385</v>
      </c>
      <c r="L54" s="24"/>
      <c r="M54" s="23">
        <f>((H52-H49)^2+(I52-I49)^2)^0.5</f>
        <v>4.1802325581395365</v>
      </c>
      <c r="N54" s="23">
        <f>N51+M54</f>
        <v>84.31999478309598</v>
      </c>
      <c r="O54" s="284">
        <f>((C52-C53)^2+(D52-D53)^2)^0.5*Path!$H$16</f>
        <v>639.3542366642366</v>
      </c>
      <c r="P54" s="8"/>
      <c r="Q54" s="8"/>
      <c r="R54" s="6"/>
      <c r="S54" s="8"/>
      <c r="T54" s="8"/>
      <c r="U54" s="6"/>
    </row>
    <row r="55" spans="2:21" ht="11.25">
      <c r="B55" s="2"/>
      <c r="C55" s="283">
        <f>(C49+C58)/2</f>
        <v>51.8186046511628</v>
      </c>
      <c r="D55" s="192">
        <f>D58</f>
        <v>70.1</v>
      </c>
      <c r="E55" s="10"/>
      <c r="F55" s="9">
        <f>IF(Design!$H$17="x",C55,0)</f>
        <v>51.8186046511628</v>
      </c>
      <c r="G55" s="9">
        <f>IF(Design!$H$17="x",D55,0)</f>
        <v>70.1</v>
      </c>
      <c r="H55" s="9">
        <f>SUM(C55:C56)/2</f>
        <v>55.99883720930234</v>
      </c>
      <c r="I55" s="9">
        <f>SUM(D55:D56)/2</f>
        <v>61.73953488372092</v>
      </c>
      <c r="J55" s="9">
        <f>IF(Design!$H$16="x",H55,0)</f>
        <v>55.99883720930234</v>
      </c>
      <c r="K55" s="9">
        <f>IF(Design!$H$16="x",I55,0)</f>
        <v>61.73953488372092</v>
      </c>
      <c r="L55" s="19"/>
      <c r="M55" s="9">
        <f aca="true" t="shared" si="11" ref="M55:O56">M54</f>
        <v>4.1802325581395365</v>
      </c>
      <c r="N55" s="9">
        <f t="shared" si="11"/>
        <v>84.31999478309598</v>
      </c>
      <c r="O55" s="286">
        <f t="shared" si="11"/>
        <v>639.3542366642366</v>
      </c>
      <c r="P55" s="8"/>
      <c r="Q55" s="8"/>
      <c r="R55" s="6"/>
      <c r="S55" s="8"/>
      <c r="T55" s="8"/>
      <c r="U55" s="6"/>
    </row>
    <row r="56" spans="2:21" ht="11.25">
      <c r="B56" s="5">
        <f>B53+1</f>
        <v>13</v>
      </c>
      <c r="C56" s="283">
        <f>C53</f>
        <v>60.179069767441874</v>
      </c>
      <c r="D56" s="192">
        <f>D53</f>
        <v>53.37906976744185</v>
      </c>
      <c r="E56" s="13"/>
      <c r="F56" s="12">
        <f>IF(Design!$H$17="x",C56,0)</f>
        <v>60.179069767441874</v>
      </c>
      <c r="G56" s="12">
        <f>IF(Design!$H$17="x",D56,0)</f>
        <v>53.37906976744185</v>
      </c>
      <c r="H56" s="12"/>
      <c r="I56" s="12"/>
      <c r="J56" s="12">
        <f>J55</f>
        <v>55.99883720930234</v>
      </c>
      <c r="K56" s="12">
        <f>K55</f>
        <v>61.73953488372092</v>
      </c>
      <c r="L56" s="17"/>
      <c r="M56" s="12">
        <f t="shared" si="11"/>
        <v>4.1802325581395365</v>
      </c>
      <c r="N56" s="12">
        <f t="shared" si="11"/>
        <v>84.31999478309598</v>
      </c>
      <c r="O56" s="284">
        <f t="shared" si="11"/>
        <v>639.3542366642366</v>
      </c>
      <c r="P56" s="8"/>
      <c r="Q56" s="8"/>
      <c r="R56" s="6"/>
      <c r="S56" s="8"/>
      <c r="T56" s="8"/>
      <c r="U56" s="6"/>
    </row>
    <row r="57" spans="2:21" ht="11.25">
      <c r="B57" s="2"/>
      <c r="C57" s="287"/>
      <c r="D57" s="194"/>
      <c r="E57" s="21"/>
      <c r="F57" s="22"/>
      <c r="G57" s="23"/>
      <c r="H57" s="23"/>
      <c r="I57" s="23"/>
      <c r="J57" s="12">
        <f>J56</f>
        <v>55.99883720930234</v>
      </c>
      <c r="K57" s="12">
        <f>K56</f>
        <v>61.73953488372092</v>
      </c>
      <c r="L57" s="24"/>
      <c r="M57" s="23">
        <f>((H55-H52)^2+(I55-I52)^2)^0.5</f>
        <v>5.91174157759451</v>
      </c>
      <c r="N57" s="23">
        <f>N54+M57</f>
        <v>90.23173636069049</v>
      </c>
      <c r="O57" s="284">
        <f>((C55-C56)^2+(D55-D56)^2)^0.5*Path!$H$16</f>
        <v>639.3542366642366</v>
      </c>
      <c r="P57" s="8"/>
      <c r="Q57" s="8"/>
      <c r="R57" s="6"/>
      <c r="S57" s="8"/>
      <c r="T57" s="8"/>
      <c r="U57" s="6"/>
    </row>
    <row r="58" spans="2:21" ht="11.25">
      <c r="B58" s="2"/>
      <c r="C58" s="283">
        <f>C59</f>
        <v>60.179069767441874</v>
      </c>
      <c r="D58" s="192">
        <f>Panels!$D$68</f>
        <v>70.1</v>
      </c>
      <c r="E58" s="10"/>
      <c r="F58" s="9">
        <f>IF(Design!$H$17="x",C58,0)</f>
        <v>60.179069767441874</v>
      </c>
      <c r="G58" s="9">
        <f>IF(Design!$H$17="x",D58,0)</f>
        <v>70.1</v>
      </c>
      <c r="H58" s="9">
        <f>SUM(C58:C59)/2</f>
        <v>60.179069767441874</v>
      </c>
      <c r="I58" s="9">
        <f>SUM(D58:D59)/2</f>
        <v>61.73953488372092</v>
      </c>
      <c r="J58" s="9">
        <f>IF(Design!$H$16="x",H58,0)</f>
        <v>60.179069767441874</v>
      </c>
      <c r="K58" s="9">
        <f>IF(Design!$H$16="x",I58,0)</f>
        <v>61.73953488372092</v>
      </c>
      <c r="L58" s="19"/>
      <c r="M58" s="9">
        <f aca="true" t="shared" si="12" ref="M58:O59">M57</f>
        <v>5.91174157759451</v>
      </c>
      <c r="N58" s="9">
        <f t="shared" si="12"/>
        <v>90.23173636069049</v>
      </c>
      <c r="O58" s="286">
        <f t="shared" si="12"/>
        <v>639.3542366642366</v>
      </c>
      <c r="P58" s="8"/>
      <c r="Q58" s="8"/>
      <c r="R58" s="6"/>
      <c r="S58" s="8"/>
      <c r="T58" s="8"/>
      <c r="U58" s="6"/>
    </row>
    <row r="59" spans="2:21" ht="11.25">
      <c r="B59" s="5">
        <f>B56+1</f>
        <v>14</v>
      </c>
      <c r="C59" s="283">
        <f>C56</f>
        <v>60.179069767441874</v>
      </c>
      <c r="D59" s="192">
        <f>D56</f>
        <v>53.37906976744185</v>
      </c>
      <c r="E59" s="13"/>
      <c r="F59" s="12">
        <f>IF(Design!$H$17="x",C59,0)</f>
        <v>60.179069767441874</v>
      </c>
      <c r="G59" s="12">
        <f>IF(Design!$H$17="x",D59,0)</f>
        <v>53.37906976744185</v>
      </c>
      <c r="H59" s="12"/>
      <c r="I59" s="12"/>
      <c r="J59" s="12">
        <f>J58</f>
        <v>60.179069767441874</v>
      </c>
      <c r="K59" s="12">
        <f>K58</f>
        <v>61.73953488372092</v>
      </c>
      <c r="L59" s="17"/>
      <c r="M59" s="12">
        <f t="shared" si="12"/>
        <v>5.91174157759451</v>
      </c>
      <c r="N59" s="12">
        <f t="shared" si="12"/>
        <v>90.23173636069049</v>
      </c>
      <c r="O59" s="284">
        <f t="shared" si="12"/>
        <v>639.3542366642366</v>
      </c>
      <c r="P59" s="8"/>
      <c r="Q59" s="8"/>
      <c r="R59" s="6"/>
      <c r="S59" s="8"/>
      <c r="T59" s="8"/>
      <c r="U59" s="6"/>
    </row>
    <row r="60" spans="2:21" ht="12" thickBot="1">
      <c r="B60" s="2"/>
      <c r="C60" s="288"/>
      <c r="D60" s="296"/>
      <c r="E60" s="290"/>
      <c r="F60" s="291"/>
      <c r="G60" s="292"/>
      <c r="H60" s="292"/>
      <c r="I60" s="292"/>
      <c r="J60" s="292">
        <f>J59</f>
        <v>60.179069767441874</v>
      </c>
      <c r="K60" s="292">
        <f>K59</f>
        <v>61.73953488372092</v>
      </c>
      <c r="L60" s="293"/>
      <c r="M60" s="292">
        <f>((H58-H55)^2+(I58-I55)^2)^0.5</f>
        <v>4.1802325581395365</v>
      </c>
      <c r="N60" s="292">
        <f>N57+M60</f>
        <v>94.41196891883003</v>
      </c>
      <c r="O60" s="294">
        <f>((C58-C59)^2+(D58-D59)^2)^0.5*Path!$H$16</f>
        <v>571.8558139534887</v>
      </c>
      <c r="P60" s="8"/>
      <c r="Q60" s="8"/>
      <c r="R60" s="6"/>
      <c r="S60" s="8"/>
      <c r="T60" s="8"/>
      <c r="U60" s="6"/>
    </row>
    <row r="61" spans="2:15" ht="11.25">
      <c r="B61" s="2"/>
      <c r="C61" s="277">
        <f>C62</f>
        <v>61.37906976744188</v>
      </c>
      <c r="D61" s="278">
        <f>D58</f>
        <v>70.1</v>
      </c>
      <c r="E61" s="279"/>
      <c r="F61" s="280">
        <f>IF(Design!$H$17="x",C61,0)</f>
        <v>61.37906976744188</v>
      </c>
      <c r="G61" s="280">
        <f>IF(Design!$H$17="x",D61,0)</f>
        <v>70.1</v>
      </c>
      <c r="H61" s="280">
        <f>SUM(C61:C62)/2</f>
        <v>61.37906976744188</v>
      </c>
      <c r="I61" s="280">
        <f>SUM(D61:D62)/2</f>
        <v>61.73953488372092</v>
      </c>
      <c r="J61" s="280">
        <f>IF(Design!$H$16="x",H61,0)</f>
        <v>61.37906976744188</v>
      </c>
      <c r="K61" s="280">
        <f>IF(Design!$H$16="x",I61,0)</f>
        <v>61.73953488372092</v>
      </c>
      <c r="L61" s="281"/>
      <c r="M61" s="280">
        <f aca="true" t="shared" si="13" ref="M61:O62">M60</f>
        <v>4.1802325581395365</v>
      </c>
      <c r="N61" s="280">
        <f t="shared" si="13"/>
        <v>94.41196891883003</v>
      </c>
      <c r="O61" s="282">
        <f t="shared" si="13"/>
        <v>571.8558139534887</v>
      </c>
    </row>
    <row r="62" spans="2:15" ht="11.25">
      <c r="B62" s="5">
        <f>B59+1</f>
        <v>15</v>
      </c>
      <c r="C62" s="283">
        <f>Panels!$C$86</f>
        <v>61.37906976744188</v>
      </c>
      <c r="D62" s="192">
        <f>Panels!$D$86</f>
        <v>53.37906976744185</v>
      </c>
      <c r="E62" s="13"/>
      <c r="F62" s="12">
        <f>IF(Design!$H$17="x",C62,0)</f>
        <v>61.37906976744188</v>
      </c>
      <c r="G62" s="12">
        <f>IF(Design!$H$17="x",D62,0)</f>
        <v>53.37906976744185</v>
      </c>
      <c r="H62" s="12"/>
      <c r="I62" s="12"/>
      <c r="J62" s="12">
        <f>J61</f>
        <v>61.37906976744188</v>
      </c>
      <c r="K62" s="12">
        <f>K61</f>
        <v>61.73953488372092</v>
      </c>
      <c r="L62" s="17"/>
      <c r="M62" s="12">
        <f t="shared" si="13"/>
        <v>4.1802325581395365</v>
      </c>
      <c r="N62" s="12">
        <f t="shared" si="13"/>
        <v>94.41196891883003</v>
      </c>
      <c r="O62" s="284">
        <f t="shared" si="13"/>
        <v>571.8558139534887</v>
      </c>
    </row>
    <row r="63" spans="2:15" ht="11.25">
      <c r="B63" s="2"/>
      <c r="C63" s="287"/>
      <c r="D63" s="194"/>
      <c r="E63" s="21"/>
      <c r="F63" s="22"/>
      <c r="G63" s="23"/>
      <c r="H63" s="23"/>
      <c r="I63" s="23"/>
      <c r="J63" s="23">
        <f>J62</f>
        <v>61.37906976744188</v>
      </c>
      <c r="K63" s="23">
        <f>K62</f>
        <v>61.73953488372092</v>
      </c>
      <c r="L63" s="24"/>
      <c r="M63" s="23">
        <f>((H61-H58)^2+(I61-I58)^2)^0.5</f>
        <v>1.2000000000000028</v>
      </c>
      <c r="N63" s="23">
        <f>N60+M63</f>
        <v>95.61196891883003</v>
      </c>
      <c r="O63" s="297">
        <f>((C61-C62)^2+(D61-D62)^2)^0.5*Path!$H$16</f>
        <v>571.8558139534887</v>
      </c>
    </row>
    <row r="64" spans="2:15" ht="11.25">
      <c r="B64" s="2"/>
      <c r="C64" s="283">
        <f>(C61+C70)/2</f>
        <v>69.73953488372094</v>
      </c>
      <c r="D64" s="192">
        <f>D61</f>
        <v>70.1</v>
      </c>
      <c r="E64" s="10"/>
      <c r="F64" s="9">
        <f>IF(Design!$H$17="x",C64,0)</f>
        <v>69.73953488372094</v>
      </c>
      <c r="G64" s="9">
        <f>IF(Design!$H$17="x",D64,0)</f>
        <v>70.1</v>
      </c>
      <c r="H64" s="9">
        <f>SUM(C64:C65)/2</f>
        <v>65.5593023255814</v>
      </c>
      <c r="I64" s="9">
        <f>SUM(D64:D65)/2</f>
        <v>61.73953488372092</v>
      </c>
      <c r="J64" s="9">
        <f>IF(Design!$H$16="x",H64,0)</f>
        <v>65.5593023255814</v>
      </c>
      <c r="K64" s="9">
        <f>IF(Design!$H$16="x",I64,0)</f>
        <v>61.73953488372092</v>
      </c>
      <c r="L64" s="19"/>
      <c r="M64" s="9">
        <f aca="true" t="shared" si="14" ref="M64:O65">M63</f>
        <v>1.2000000000000028</v>
      </c>
      <c r="N64" s="9">
        <f t="shared" si="14"/>
        <v>95.61196891883003</v>
      </c>
      <c r="O64" s="286">
        <f t="shared" si="14"/>
        <v>571.8558139534887</v>
      </c>
    </row>
    <row r="65" spans="2:15" ht="11.25">
      <c r="B65" s="5">
        <f>B62+1</f>
        <v>16</v>
      </c>
      <c r="C65" s="283">
        <f>C62</f>
        <v>61.37906976744188</v>
      </c>
      <c r="D65" s="192">
        <f>D62</f>
        <v>53.37906976744185</v>
      </c>
      <c r="E65" s="13"/>
      <c r="F65" s="12">
        <f>IF(Design!$H$17="x",C65,0)</f>
        <v>61.37906976744188</v>
      </c>
      <c r="G65" s="12">
        <f>IF(Design!$H$17="x",D65,0)</f>
        <v>53.37906976744185</v>
      </c>
      <c r="H65" s="12"/>
      <c r="I65" s="12"/>
      <c r="J65" s="12">
        <f>J64</f>
        <v>65.5593023255814</v>
      </c>
      <c r="K65" s="12">
        <f>K64</f>
        <v>61.73953488372092</v>
      </c>
      <c r="L65" s="17"/>
      <c r="M65" s="12">
        <f t="shared" si="14"/>
        <v>1.2000000000000028</v>
      </c>
      <c r="N65" s="12">
        <f t="shared" si="14"/>
        <v>95.61196891883003</v>
      </c>
      <c r="O65" s="284">
        <f t="shared" si="14"/>
        <v>571.8558139534887</v>
      </c>
    </row>
    <row r="66" spans="2:15" ht="11.25">
      <c r="B66" s="2"/>
      <c r="C66" s="287"/>
      <c r="D66" s="194"/>
      <c r="E66" s="21"/>
      <c r="F66" s="22"/>
      <c r="G66" s="23"/>
      <c r="H66" s="23"/>
      <c r="I66" s="23"/>
      <c r="J66" s="23">
        <f>J65</f>
        <v>65.5593023255814</v>
      </c>
      <c r="K66" s="23">
        <f>K65</f>
        <v>61.73953488372092</v>
      </c>
      <c r="L66" s="24"/>
      <c r="M66" s="23">
        <f>((H64-H61)^2+(I64-I61)^2)^0.5</f>
        <v>4.180232558139522</v>
      </c>
      <c r="N66" s="23">
        <f>N63+M66</f>
        <v>99.79220147696955</v>
      </c>
      <c r="O66" s="297">
        <f>((C64-C65)^2+(D64-D65)^2)^0.5*Path!$H$16</f>
        <v>639.3542366642365</v>
      </c>
    </row>
    <row r="67" spans="2:15" ht="11.25">
      <c r="B67" s="2"/>
      <c r="C67" s="283">
        <f>C70</f>
        <v>78.1</v>
      </c>
      <c r="D67" s="192">
        <f>(D61+D70)/2</f>
        <v>61.73953488372092</v>
      </c>
      <c r="E67" s="10"/>
      <c r="F67" s="9">
        <f>IF(Design!$H$17="x",C67,0)</f>
        <v>78.1</v>
      </c>
      <c r="G67" s="9">
        <f>IF(Design!$H$17="x",D67,0)</f>
        <v>61.73953488372092</v>
      </c>
      <c r="H67" s="9">
        <f>SUM(C67:C68)/2</f>
        <v>69.73953488372094</v>
      </c>
      <c r="I67" s="9">
        <f>SUM(D67:D68)/2</f>
        <v>57.559302325581385</v>
      </c>
      <c r="J67" s="9">
        <f>IF(Design!$H$16="x",H67,0)</f>
        <v>69.73953488372094</v>
      </c>
      <c r="K67" s="9">
        <f>IF(Design!$H$16="x",I67,0)</f>
        <v>57.559302325581385</v>
      </c>
      <c r="L67" s="19"/>
      <c r="M67" s="9">
        <f aca="true" t="shared" si="15" ref="M67:O68">M66</f>
        <v>4.180232558139522</v>
      </c>
      <c r="N67" s="9">
        <f t="shared" si="15"/>
        <v>99.79220147696955</v>
      </c>
      <c r="O67" s="286">
        <f t="shared" si="15"/>
        <v>639.3542366642365</v>
      </c>
    </row>
    <row r="68" spans="2:15" ht="11.25">
      <c r="B68" s="5">
        <f>B65+1</f>
        <v>17</v>
      </c>
      <c r="C68" s="283">
        <f>C65</f>
        <v>61.37906976744188</v>
      </c>
      <c r="D68" s="192">
        <f>D65</f>
        <v>53.37906976744185</v>
      </c>
      <c r="E68" s="13"/>
      <c r="F68" s="12">
        <f>IF(Design!$H$17="x",C68,0)</f>
        <v>61.37906976744188</v>
      </c>
      <c r="G68" s="12">
        <f>IF(Design!$H$17="x",D68,0)</f>
        <v>53.37906976744185</v>
      </c>
      <c r="H68" s="12"/>
      <c r="I68" s="12"/>
      <c r="J68" s="12">
        <f>J67</f>
        <v>69.73953488372094</v>
      </c>
      <c r="K68" s="12">
        <f>K67</f>
        <v>57.559302325581385</v>
      </c>
      <c r="L68" s="17"/>
      <c r="M68" s="12">
        <f t="shared" si="15"/>
        <v>4.180232558139522</v>
      </c>
      <c r="N68" s="12">
        <f t="shared" si="15"/>
        <v>99.79220147696955</v>
      </c>
      <c r="O68" s="284">
        <f t="shared" si="15"/>
        <v>639.3542366642365</v>
      </c>
    </row>
    <row r="69" spans="2:15" ht="11.25">
      <c r="B69" s="2"/>
      <c r="C69" s="287"/>
      <c r="D69" s="194"/>
      <c r="E69" s="21"/>
      <c r="F69" s="22"/>
      <c r="G69" s="23"/>
      <c r="H69" s="23"/>
      <c r="I69" s="23"/>
      <c r="J69" s="23">
        <f>J68</f>
        <v>69.73953488372094</v>
      </c>
      <c r="K69" s="23">
        <f>K68</f>
        <v>57.559302325581385</v>
      </c>
      <c r="L69" s="24"/>
      <c r="M69" s="23">
        <f>((H67-H64)^2+(I67-I64)^2)^0.5</f>
        <v>5.91174157759451</v>
      </c>
      <c r="N69" s="23">
        <f>N66+M69</f>
        <v>105.70394305456406</v>
      </c>
      <c r="O69" s="297">
        <f>((C67-C68)^2+(D67-D68)^2)^0.5*Path!$H$16</f>
        <v>639.3542366642358</v>
      </c>
    </row>
    <row r="70" spans="2:15" ht="11.25">
      <c r="B70" s="2"/>
      <c r="C70" s="283">
        <f>Panels!$C$48</f>
        <v>78.1</v>
      </c>
      <c r="D70" s="192">
        <f>D71</f>
        <v>53.37906976744185</v>
      </c>
      <c r="E70" s="10"/>
      <c r="F70" s="9">
        <f>IF(Design!$H$17="x",C70,0)</f>
        <v>78.1</v>
      </c>
      <c r="G70" s="9">
        <f>IF(Design!$H$17="x",D70,0)</f>
        <v>53.37906976744185</v>
      </c>
      <c r="H70" s="9">
        <f>SUM(C70:C71)/2</f>
        <v>69.73953488372094</v>
      </c>
      <c r="I70" s="9">
        <f>SUM(D70:D71)/2</f>
        <v>53.37906976744185</v>
      </c>
      <c r="J70" s="9">
        <f>IF(Design!$H$16="x",H70,0)</f>
        <v>69.73953488372094</v>
      </c>
      <c r="K70" s="9">
        <f>IF(Design!$H$16="x",I70,0)</f>
        <v>53.37906976744185</v>
      </c>
      <c r="L70" s="19"/>
      <c r="M70" s="9">
        <f aca="true" t="shared" si="16" ref="M70:O71">M69</f>
        <v>5.91174157759451</v>
      </c>
      <c r="N70" s="9">
        <f t="shared" si="16"/>
        <v>105.70394305456406</v>
      </c>
      <c r="O70" s="286">
        <f t="shared" si="16"/>
        <v>639.3542366642358</v>
      </c>
    </row>
    <row r="71" spans="2:15" ht="11.25">
      <c r="B71" s="5">
        <f>B68+1</f>
        <v>18</v>
      </c>
      <c r="C71" s="283">
        <f>C68</f>
        <v>61.37906976744188</v>
      </c>
      <c r="D71" s="192">
        <f>D68</f>
        <v>53.37906976744185</v>
      </c>
      <c r="E71" s="13"/>
      <c r="F71" s="12">
        <f>IF(Design!$H$17="x",C71,0)</f>
        <v>61.37906976744188</v>
      </c>
      <c r="G71" s="12">
        <f>IF(Design!$H$17="x",D71,0)</f>
        <v>53.37906976744185</v>
      </c>
      <c r="H71" s="12"/>
      <c r="I71" s="12"/>
      <c r="J71" s="12">
        <f>J70</f>
        <v>69.73953488372094</v>
      </c>
      <c r="K71" s="12">
        <f>K70</f>
        <v>53.37906976744185</v>
      </c>
      <c r="L71" s="17"/>
      <c r="M71" s="12">
        <f t="shared" si="16"/>
        <v>5.91174157759451</v>
      </c>
      <c r="N71" s="12">
        <f t="shared" si="16"/>
        <v>105.70394305456406</v>
      </c>
      <c r="O71" s="284">
        <f t="shared" si="16"/>
        <v>639.3542366642358</v>
      </c>
    </row>
    <row r="72" spans="2:15" ht="12" thickBot="1">
      <c r="B72" s="2"/>
      <c r="C72" s="288"/>
      <c r="D72" s="296"/>
      <c r="E72" s="290"/>
      <c r="F72" s="291"/>
      <c r="G72" s="292"/>
      <c r="H72" s="292"/>
      <c r="I72" s="292"/>
      <c r="J72" s="292">
        <f>J71</f>
        <v>69.73953488372094</v>
      </c>
      <c r="K72" s="292">
        <f>K71</f>
        <v>53.37906976744185</v>
      </c>
      <c r="L72" s="293"/>
      <c r="M72" s="292">
        <f>((H70-H67)^2+(I70-I67)^2)^0.5</f>
        <v>4.1802325581395365</v>
      </c>
      <c r="N72" s="292">
        <f>N69+M72</f>
        <v>109.8841756127036</v>
      </c>
      <c r="O72" s="294">
        <f>((C70-C71)^2+(D70-D71)^2)^0.5*Path!$H$16</f>
        <v>571.8558139534877</v>
      </c>
    </row>
    <row r="73" spans="2:21" ht="11.25">
      <c r="B73" s="2"/>
      <c r="C73" s="277">
        <f>C70</f>
        <v>78.1</v>
      </c>
      <c r="D73" s="278">
        <f>D74</f>
        <v>18.62093023255814</v>
      </c>
      <c r="E73" s="279"/>
      <c r="F73" s="280">
        <f>IF(Design!$H$17="x",C73,0)</f>
        <v>78.1</v>
      </c>
      <c r="G73" s="280">
        <f>IF(Design!$H$17="x",D73,0)</f>
        <v>18.62093023255814</v>
      </c>
      <c r="H73" s="280">
        <f>SUM(C73:C74)/2</f>
        <v>69.73953488372094</v>
      </c>
      <c r="I73" s="280">
        <f>SUM(D73:D74)/2</f>
        <v>18.62093023255814</v>
      </c>
      <c r="J73" s="280">
        <f>IF(Design!$H$16="x",H73,0)</f>
        <v>69.73953488372094</v>
      </c>
      <c r="K73" s="280">
        <f>IF(Design!$H$16="x",I73,0)</f>
        <v>18.62093023255814</v>
      </c>
      <c r="L73" s="281"/>
      <c r="M73" s="280">
        <f aca="true" t="shared" si="17" ref="M73:O74">M72</f>
        <v>4.1802325581395365</v>
      </c>
      <c r="N73" s="280">
        <f t="shared" si="17"/>
        <v>109.8841756127036</v>
      </c>
      <c r="O73" s="282">
        <f t="shared" si="17"/>
        <v>571.8558139534877</v>
      </c>
      <c r="P73" s="8"/>
      <c r="Q73" s="8"/>
      <c r="R73" s="6"/>
      <c r="S73" s="8"/>
      <c r="T73" s="8"/>
      <c r="U73" s="6"/>
    </row>
    <row r="74" spans="2:21" ht="11.25">
      <c r="B74" s="5">
        <f>B71+1</f>
        <v>19</v>
      </c>
      <c r="C74" s="283">
        <f>Panels!C85</f>
        <v>61.37906976744188</v>
      </c>
      <c r="D74" s="192">
        <f>Panels!D85</f>
        <v>18.62093023255814</v>
      </c>
      <c r="E74" s="13"/>
      <c r="F74" s="12">
        <f>IF(Design!$H$17="x",C74,0)</f>
        <v>61.37906976744188</v>
      </c>
      <c r="G74" s="12">
        <f>IF(Design!$H$17="x",D74,0)</f>
        <v>18.62093023255814</v>
      </c>
      <c r="H74" s="12"/>
      <c r="I74" s="12"/>
      <c r="J74" s="12">
        <f>J73</f>
        <v>69.73953488372094</v>
      </c>
      <c r="K74" s="12">
        <f>K73</f>
        <v>18.62093023255814</v>
      </c>
      <c r="L74" s="17"/>
      <c r="M74" s="12">
        <f t="shared" si="17"/>
        <v>4.1802325581395365</v>
      </c>
      <c r="N74" s="12">
        <f t="shared" si="17"/>
        <v>109.8841756127036</v>
      </c>
      <c r="O74" s="284">
        <f t="shared" si="17"/>
        <v>571.8558139534877</v>
      </c>
      <c r="P74" s="8"/>
      <c r="Q74" s="8"/>
      <c r="R74" s="6"/>
      <c r="S74" s="8"/>
      <c r="T74" s="8"/>
      <c r="U74" s="6"/>
    </row>
    <row r="75" spans="2:21" ht="11.25">
      <c r="B75" s="2"/>
      <c r="C75" s="287"/>
      <c r="D75" s="194"/>
      <c r="E75" s="21"/>
      <c r="F75" s="22"/>
      <c r="G75" s="23"/>
      <c r="H75" s="23"/>
      <c r="I75" s="23"/>
      <c r="J75" s="23">
        <f>J74</f>
        <v>69.73953488372094</v>
      </c>
      <c r="K75" s="23">
        <f>K74</f>
        <v>18.62093023255814</v>
      </c>
      <c r="L75" s="24"/>
      <c r="M75" s="23">
        <f>((H73-H70)^2+(I73-I70)^2)^0.5</f>
        <v>34.75813953488371</v>
      </c>
      <c r="N75" s="23">
        <f>N72+M75</f>
        <v>144.6423151475873</v>
      </c>
      <c r="O75" s="297">
        <f>((C73-C74)^2+(D73-D74)^2)^0.5*Path!$H$16</f>
        <v>571.8558139534877</v>
      </c>
      <c r="P75" s="8"/>
      <c r="Q75" s="8"/>
      <c r="R75" s="6"/>
      <c r="S75" s="8"/>
      <c r="T75" s="8"/>
      <c r="U75" s="6"/>
    </row>
    <row r="76" spans="2:21" ht="11.25">
      <c r="B76" s="2"/>
      <c r="C76" s="283">
        <f>C73</f>
        <v>78.1</v>
      </c>
      <c r="D76" s="192">
        <f>(D73+D82)/2</f>
        <v>10.26046511627907</v>
      </c>
      <c r="E76" s="10"/>
      <c r="F76" s="9">
        <f>IF(Design!$H$17="x",C76,0)</f>
        <v>78.1</v>
      </c>
      <c r="G76" s="9">
        <f>IF(Design!$H$17="x",D76,0)</f>
        <v>10.26046511627907</v>
      </c>
      <c r="H76" s="9">
        <f>SUM(C76:C77)/2</f>
        <v>69.73953488372094</v>
      </c>
      <c r="I76" s="9">
        <f>SUM(D76:D77)/2</f>
        <v>14.440697674418605</v>
      </c>
      <c r="J76" s="9">
        <f>IF(Design!$H$16="x",H76,0)</f>
        <v>69.73953488372094</v>
      </c>
      <c r="K76" s="9">
        <f>IF(Design!$H$16="x",I76,0)</f>
        <v>14.440697674418605</v>
      </c>
      <c r="L76" s="19"/>
      <c r="M76" s="9">
        <f aca="true" t="shared" si="18" ref="M76:O77">M75</f>
        <v>34.75813953488371</v>
      </c>
      <c r="N76" s="9">
        <f t="shared" si="18"/>
        <v>144.6423151475873</v>
      </c>
      <c r="O76" s="286">
        <f t="shared" si="18"/>
        <v>571.8558139534877</v>
      </c>
      <c r="P76" s="8"/>
      <c r="Q76" s="8"/>
      <c r="R76" s="6"/>
      <c r="S76" s="8"/>
      <c r="T76" s="8"/>
      <c r="U76" s="6"/>
    </row>
    <row r="77" spans="1:21" ht="11.25">
      <c r="A77" s="2"/>
      <c r="B77" s="5">
        <f>B74+1</f>
        <v>20</v>
      </c>
      <c r="C77" s="283">
        <f>C74</f>
        <v>61.37906976744188</v>
      </c>
      <c r="D77" s="192">
        <f>D74</f>
        <v>18.62093023255814</v>
      </c>
      <c r="E77" s="13"/>
      <c r="F77" s="12">
        <f>IF(Design!$H$17="x",C77,0)</f>
        <v>61.37906976744188</v>
      </c>
      <c r="G77" s="12">
        <f>IF(Design!$H$17="x",D77,0)</f>
        <v>18.62093023255814</v>
      </c>
      <c r="H77" s="12"/>
      <c r="I77" s="12"/>
      <c r="J77" s="12">
        <f>J76</f>
        <v>69.73953488372094</v>
      </c>
      <c r="K77" s="12">
        <f>K76</f>
        <v>14.440697674418605</v>
      </c>
      <c r="L77" s="17"/>
      <c r="M77" s="12">
        <f t="shared" si="18"/>
        <v>34.75813953488371</v>
      </c>
      <c r="N77" s="12">
        <f t="shared" si="18"/>
        <v>144.6423151475873</v>
      </c>
      <c r="O77" s="284">
        <f t="shared" si="18"/>
        <v>571.8558139534877</v>
      </c>
      <c r="P77" s="8"/>
      <c r="Q77" s="8"/>
      <c r="R77" s="6"/>
      <c r="S77" s="8"/>
      <c r="T77" s="8"/>
      <c r="U77" s="6"/>
    </row>
    <row r="78" spans="2:21" ht="11.25">
      <c r="B78" s="2"/>
      <c r="C78" s="287"/>
      <c r="D78" s="194"/>
      <c r="E78" s="21"/>
      <c r="F78" s="22"/>
      <c r="G78" s="23"/>
      <c r="H78" s="23"/>
      <c r="I78" s="23"/>
      <c r="J78" s="23">
        <f>J77</f>
        <v>69.73953488372094</v>
      </c>
      <c r="K78" s="23">
        <f>K77</f>
        <v>14.440697674418605</v>
      </c>
      <c r="L78" s="24"/>
      <c r="M78" s="23">
        <f>((H76-H73)^2+(I76-I73)^2)^0.5</f>
        <v>4.1802325581395365</v>
      </c>
      <c r="N78" s="23">
        <f>N75+M78</f>
        <v>148.82254770572683</v>
      </c>
      <c r="O78" s="297">
        <f>((C76-C77)^2+(D76-D77)^2)^0.5*Path!$H$16</f>
        <v>639.3542366642358</v>
      </c>
      <c r="P78" s="8"/>
      <c r="Q78" s="8"/>
      <c r="R78" s="6"/>
      <c r="S78" s="8"/>
      <c r="T78" s="8"/>
      <c r="U78" s="6"/>
    </row>
    <row r="79" spans="2:21" ht="11.25">
      <c r="B79" s="2"/>
      <c r="C79" s="283">
        <f>(C73+C82)/2</f>
        <v>69.73953488372094</v>
      </c>
      <c r="D79" s="192">
        <f>D82</f>
        <v>1.9</v>
      </c>
      <c r="E79" s="10"/>
      <c r="F79" s="9">
        <f>IF(Design!$H$17="x",C79,0)</f>
        <v>69.73953488372094</v>
      </c>
      <c r="G79" s="9">
        <f>IF(Design!$H$17="x",D79,0)</f>
        <v>1.9</v>
      </c>
      <c r="H79" s="9">
        <f>SUM(C79:C80)/2</f>
        <v>65.5593023255814</v>
      </c>
      <c r="I79" s="9">
        <f>SUM(D79:D80)/2</f>
        <v>10.26046511627907</v>
      </c>
      <c r="J79" s="9">
        <f>IF(Design!$H$16="x",H79,0)</f>
        <v>65.5593023255814</v>
      </c>
      <c r="K79" s="9">
        <f>IF(Design!$H$16="x",I79,0)</f>
        <v>10.26046511627907</v>
      </c>
      <c r="L79" s="19"/>
      <c r="M79" s="9">
        <f aca="true" t="shared" si="19" ref="M79:O80">M78</f>
        <v>4.1802325581395365</v>
      </c>
      <c r="N79" s="9">
        <f t="shared" si="19"/>
        <v>148.82254770572683</v>
      </c>
      <c r="O79" s="286">
        <f t="shared" si="19"/>
        <v>639.3542366642358</v>
      </c>
      <c r="P79" s="8"/>
      <c r="Q79" s="8"/>
      <c r="R79" s="6"/>
      <c r="S79" s="8"/>
      <c r="T79" s="8"/>
      <c r="U79" s="6"/>
    </row>
    <row r="80" spans="2:21" ht="11.25">
      <c r="B80" s="5">
        <f>B77+1</f>
        <v>21</v>
      </c>
      <c r="C80" s="283">
        <f>C77</f>
        <v>61.37906976744188</v>
      </c>
      <c r="D80" s="192">
        <f>D77</f>
        <v>18.62093023255814</v>
      </c>
      <c r="E80" s="13"/>
      <c r="F80" s="12">
        <f>IF(Design!$H$17="x",C80,0)</f>
        <v>61.37906976744188</v>
      </c>
      <c r="G80" s="12">
        <f>IF(Design!$H$17="x",D80,0)</f>
        <v>18.62093023255814</v>
      </c>
      <c r="H80" s="12"/>
      <c r="I80" s="12"/>
      <c r="J80" s="12">
        <f>J79</f>
        <v>65.5593023255814</v>
      </c>
      <c r="K80" s="12">
        <f>K79</f>
        <v>10.26046511627907</v>
      </c>
      <c r="L80" s="17"/>
      <c r="M80" s="12">
        <f t="shared" si="19"/>
        <v>4.1802325581395365</v>
      </c>
      <c r="N80" s="12">
        <f t="shared" si="19"/>
        <v>148.82254770572683</v>
      </c>
      <c r="O80" s="284">
        <f t="shared" si="19"/>
        <v>639.3542366642358</v>
      </c>
      <c r="P80" s="8"/>
      <c r="Q80" s="8"/>
      <c r="R80" s="6"/>
      <c r="S80" s="8"/>
      <c r="T80" s="8"/>
      <c r="U80" s="6"/>
    </row>
    <row r="81" spans="2:21" ht="11.25">
      <c r="B81" s="2"/>
      <c r="C81" s="287"/>
      <c r="D81" s="194"/>
      <c r="E81" s="21"/>
      <c r="F81" s="22"/>
      <c r="G81" s="23"/>
      <c r="H81" s="23"/>
      <c r="I81" s="23"/>
      <c r="J81" s="23">
        <f>J80</f>
        <v>65.5593023255814</v>
      </c>
      <c r="K81" s="23">
        <f>K80</f>
        <v>10.26046511627907</v>
      </c>
      <c r="L81" s="24"/>
      <c r="M81" s="23">
        <f>((H79-H76)^2+(I79-I76)^2)^0.5</f>
        <v>5.911741577594509</v>
      </c>
      <c r="N81" s="23">
        <f>N78+M81</f>
        <v>154.73428928332135</v>
      </c>
      <c r="O81" s="297">
        <f>((C79-C80)^2+(D79-D80)^2)^0.5*Path!$H$16</f>
        <v>639.3542366642364</v>
      </c>
      <c r="P81" s="8"/>
      <c r="Q81" s="8"/>
      <c r="R81" s="6"/>
      <c r="S81" s="8"/>
      <c r="T81" s="8"/>
      <c r="U81" s="6"/>
    </row>
    <row r="82" spans="2:21" ht="11.25">
      <c r="B82" s="2"/>
      <c r="C82" s="283">
        <f>C83</f>
        <v>61.37906976744188</v>
      </c>
      <c r="D82" s="192">
        <f>Panels!$D$61</f>
        <v>1.9</v>
      </c>
      <c r="E82" s="10"/>
      <c r="F82" s="9">
        <f>IF(Design!$H$17="x",C82,0)</f>
        <v>61.37906976744188</v>
      </c>
      <c r="G82" s="9">
        <f>IF(Design!$H$17="x",D82,0)</f>
        <v>1.9</v>
      </c>
      <c r="H82" s="9">
        <f>SUM(C82:C83)/2</f>
        <v>61.37906976744188</v>
      </c>
      <c r="I82" s="9">
        <f>SUM(D82:D83)/2</f>
        <v>10.26046511627907</v>
      </c>
      <c r="J82" s="9">
        <f>IF(Design!$H$16="x",H82,0)</f>
        <v>61.37906976744188</v>
      </c>
      <c r="K82" s="9">
        <f>IF(Design!$H$16="x",I82,0)</f>
        <v>10.26046511627907</v>
      </c>
      <c r="L82" s="19"/>
      <c r="M82" s="9">
        <f aca="true" t="shared" si="20" ref="M82:O83">M81</f>
        <v>5.911741577594509</v>
      </c>
      <c r="N82" s="9">
        <f t="shared" si="20"/>
        <v>154.73428928332135</v>
      </c>
      <c r="O82" s="286">
        <f t="shared" si="20"/>
        <v>639.3542366642364</v>
      </c>
      <c r="P82" s="8"/>
      <c r="Q82" s="8"/>
      <c r="R82" s="6"/>
      <c r="S82" s="8"/>
      <c r="T82" s="8"/>
      <c r="U82" s="6"/>
    </row>
    <row r="83" spans="2:21" ht="11.25">
      <c r="B83" s="5">
        <f>B80+1</f>
        <v>22</v>
      </c>
      <c r="C83" s="283">
        <f>C80</f>
        <v>61.37906976744188</v>
      </c>
      <c r="D83" s="192">
        <f>D80</f>
        <v>18.62093023255814</v>
      </c>
      <c r="E83" s="13"/>
      <c r="F83" s="12">
        <f>IF(Design!$H$17="x",C83,0)</f>
        <v>61.37906976744188</v>
      </c>
      <c r="G83" s="12">
        <f>IF(Design!$H$17="x",D83,0)</f>
        <v>18.62093023255814</v>
      </c>
      <c r="H83" s="12"/>
      <c r="I83" s="12"/>
      <c r="J83" s="12">
        <f>J82</f>
        <v>61.37906976744188</v>
      </c>
      <c r="K83" s="12">
        <f>K82</f>
        <v>10.26046511627907</v>
      </c>
      <c r="L83" s="17"/>
      <c r="M83" s="12">
        <f t="shared" si="20"/>
        <v>5.911741577594509</v>
      </c>
      <c r="N83" s="12">
        <f t="shared" si="20"/>
        <v>154.73428928332135</v>
      </c>
      <c r="O83" s="284">
        <f t="shared" si="20"/>
        <v>639.3542366642364</v>
      </c>
      <c r="P83" s="8"/>
      <c r="Q83" s="8"/>
      <c r="R83" s="6"/>
      <c r="S83" s="8"/>
      <c r="T83" s="8"/>
      <c r="U83" s="6"/>
    </row>
    <row r="84" spans="1:21" ht="12" thickBot="1">
      <c r="A84" s="2">
        <f>IF(Alt_Config=1,"S3","")</f>
      </c>
      <c r="B84" s="2"/>
      <c r="C84" s="288"/>
      <c r="D84" s="296"/>
      <c r="E84" s="290"/>
      <c r="F84" s="291"/>
      <c r="G84" s="292"/>
      <c r="H84" s="292"/>
      <c r="I84" s="292"/>
      <c r="J84" s="292">
        <f>J83</f>
        <v>61.37906976744188</v>
      </c>
      <c r="K84" s="292">
        <f>K83</f>
        <v>10.26046511627907</v>
      </c>
      <c r="L84" s="293"/>
      <c r="M84" s="292">
        <f>((H82-H79)^2+(I82-I79)^2)^0.5</f>
        <v>4.180232558139522</v>
      </c>
      <c r="N84" s="292">
        <f>N81+M84</f>
        <v>158.91452184146087</v>
      </c>
      <c r="O84" s="294">
        <f>((C82-C83)^2+(D82-D83)^2)^0.5*Path!$H$16</f>
        <v>571.8558139534886</v>
      </c>
      <c r="P84" s="8"/>
      <c r="Q84" s="8"/>
      <c r="R84" s="6"/>
      <c r="S84" s="8"/>
      <c r="T84" s="8"/>
      <c r="U84" s="6"/>
    </row>
    <row r="85" spans="1:21" ht="11.25">
      <c r="A85" s="2">
        <f>IF(Alt_Config=1,"S3S","")</f>
      </c>
      <c r="B85" s="2"/>
      <c r="C85" s="277">
        <f>C86</f>
        <v>23.637209302325584</v>
      </c>
      <c r="D85" s="278">
        <f>Panels!$D$61</f>
        <v>1.9</v>
      </c>
      <c r="E85" s="279"/>
      <c r="F85" s="280">
        <f>IF(Design!$H$17="x",C85,0)</f>
        <v>23.637209302325584</v>
      </c>
      <c r="G85" s="280">
        <f>IF(Design!$H$17="x",D85,0)</f>
        <v>1.9</v>
      </c>
      <c r="H85" s="280">
        <f>SUM(C85:C86)/2</f>
        <v>23.637209302325584</v>
      </c>
      <c r="I85" s="280">
        <f>SUM(D85:D86)/2</f>
        <v>10.26046511627907</v>
      </c>
      <c r="J85" s="280">
        <f>IF(Design!$H$16="x",H85,0)</f>
        <v>23.637209302325584</v>
      </c>
      <c r="K85" s="280">
        <f>IF(Design!$H$16="x",I85,0)</f>
        <v>10.26046511627907</v>
      </c>
      <c r="L85" s="281"/>
      <c r="M85" s="280">
        <f aca="true" t="shared" si="21" ref="M85:O86">M84</f>
        <v>4.180232558139522</v>
      </c>
      <c r="N85" s="280">
        <f t="shared" si="21"/>
        <v>158.91452184146087</v>
      </c>
      <c r="O85" s="282">
        <f t="shared" si="21"/>
        <v>571.8558139534886</v>
      </c>
      <c r="P85" s="8"/>
      <c r="Q85" s="8"/>
      <c r="R85" s="6"/>
      <c r="S85" s="8"/>
      <c r="T85" s="8"/>
      <c r="U85" s="6"/>
    </row>
    <row r="86" spans="2:21" ht="11.25">
      <c r="B86" s="5">
        <f>B83+1</f>
        <v>23</v>
      </c>
      <c r="C86" s="283">
        <f>Panels!$C$72</f>
        <v>23.637209302325584</v>
      </c>
      <c r="D86" s="192">
        <f>D83</f>
        <v>18.62093023255814</v>
      </c>
      <c r="E86" s="13"/>
      <c r="F86" s="12">
        <f>IF(Design!$H$17="x",C86,0)</f>
        <v>23.637209302325584</v>
      </c>
      <c r="G86" s="12">
        <f>IF(Design!$H$17="x",D86,0)</f>
        <v>18.62093023255814</v>
      </c>
      <c r="H86" s="12"/>
      <c r="I86" s="12"/>
      <c r="J86" s="12">
        <f>J85</f>
        <v>23.637209302325584</v>
      </c>
      <c r="K86" s="12">
        <f>K85</f>
        <v>10.26046511627907</v>
      </c>
      <c r="L86" s="17"/>
      <c r="M86" s="12">
        <f t="shared" si="21"/>
        <v>4.180232558139522</v>
      </c>
      <c r="N86" s="12">
        <f t="shared" si="21"/>
        <v>158.91452184146087</v>
      </c>
      <c r="O86" s="284">
        <f t="shared" si="21"/>
        <v>571.8558139534886</v>
      </c>
      <c r="P86" s="8"/>
      <c r="Q86" s="8"/>
      <c r="R86" s="6"/>
      <c r="S86" s="8"/>
      <c r="T86" s="8"/>
      <c r="U86" s="6"/>
    </row>
    <row r="87" spans="1:21" ht="12" thickBot="1">
      <c r="A87" s="2" t="str">
        <f>IF(Alt_Config=1,"S4","S3")</f>
        <v>S3</v>
      </c>
      <c r="B87" s="2"/>
      <c r="C87" s="288"/>
      <c r="D87" s="296"/>
      <c r="E87" s="290"/>
      <c r="F87" s="291"/>
      <c r="G87" s="292"/>
      <c r="H87" s="292"/>
      <c r="I87" s="292"/>
      <c r="J87" s="292">
        <f>J86</f>
        <v>23.637209302325584</v>
      </c>
      <c r="K87" s="292">
        <f>K86</f>
        <v>10.26046511627907</v>
      </c>
      <c r="L87" s="293"/>
      <c r="M87" s="292">
        <f>((H85-H82)^2+(I85-I82)^2)^0.5</f>
        <v>37.74186046511629</v>
      </c>
      <c r="N87" s="292">
        <f>N84+M87</f>
        <v>196.65638230657714</v>
      </c>
      <c r="O87" s="294">
        <f>((C85-C86)^2+(D85-D86)^2)^0.5*Path!$H$16</f>
        <v>571.8558139534886</v>
      </c>
      <c r="P87" s="8"/>
      <c r="Q87" s="8"/>
      <c r="R87" s="6"/>
      <c r="S87" s="8"/>
      <c r="T87" s="8"/>
      <c r="U87" s="6"/>
    </row>
    <row r="88" spans="1:21" ht="11.25">
      <c r="A88" s="2"/>
      <c r="B88" s="2"/>
      <c r="C88" s="330"/>
      <c r="D88" s="330"/>
      <c r="E88" s="15"/>
      <c r="F88" s="16"/>
      <c r="G88" s="12"/>
      <c r="H88" s="12"/>
      <c r="I88" s="12"/>
      <c r="J88" s="12"/>
      <c r="K88" s="12"/>
      <c r="L88" s="17"/>
      <c r="M88" s="12"/>
      <c r="N88" s="12"/>
      <c r="O88" s="18"/>
      <c r="P88" s="8"/>
      <c r="Q88" s="8"/>
      <c r="R88" s="6"/>
      <c r="S88" s="8"/>
      <c r="T88" s="8"/>
      <c r="U88" s="6"/>
    </row>
    <row r="89" spans="1:21" ht="11.25">
      <c r="A89" s="2"/>
      <c r="B89" s="5">
        <f>B86+1</f>
        <v>24</v>
      </c>
      <c r="C89" s="330"/>
      <c r="D89" s="330"/>
      <c r="E89" s="15"/>
      <c r="F89" s="16"/>
      <c r="G89" s="12"/>
      <c r="H89" s="12"/>
      <c r="I89" s="12"/>
      <c r="J89" s="12"/>
      <c r="K89" s="12"/>
      <c r="L89" s="17"/>
      <c r="M89" s="12"/>
      <c r="N89" s="12"/>
      <c r="O89" s="18"/>
      <c r="P89" s="8"/>
      <c r="Q89" s="8"/>
      <c r="R89" s="6"/>
      <c r="S89" s="8"/>
      <c r="T89" s="8"/>
      <c r="U89" s="6"/>
    </row>
    <row r="90" spans="1:21" ht="11.25">
      <c r="A90" s="2"/>
      <c r="B90" s="2"/>
      <c r="C90" s="326"/>
      <c r="D90" s="326"/>
      <c r="E90" s="21"/>
      <c r="F90" s="22"/>
      <c r="G90" s="23"/>
      <c r="H90" s="23"/>
      <c r="I90" s="23"/>
      <c r="J90" s="23"/>
      <c r="K90" s="23"/>
      <c r="L90" s="24"/>
      <c r="M90" s="23"/>
      <c r="N90" s="23"/>
      <c r="O90" s="26"/>
      <c r="P90" s="8"/>
      <c r="Q90" s="8"/>
      <c r="R90" s="6"/>
      <c r="S90" s="8"/>
      <c r="T90" s="8"/>
      <c r="U90" s="6"/>
    </row>
    <row r="91" spans="1:21" ht="11.25">
      <c r="A91" s="2"/>
      <c r="B91" s="2"/>
      <c r="C91" s="192">
        <f>C85</f>
        <v>23.637209302325584</v>
      </c>
      <c r="D91" s="192">
        <f>D85</f>
        <v>1.9</v>
      </c>
      <c r="E91" s="331"/>
      <c r="F91" s="332">
        <f>IF(Design!$H$17="x",C91,0)</f>
        <v>23.637209302325584</v>
      </c>
      <c r="G91" s="9">
        <f>IF(Design!$H$17="x",D91,0)</f>
        <v>1.9</v>
      </c>
      <c r="H91" s="9">
        <f>SUM(C91:C92)/2</f>
        <v>23.637209302325584</v>
      </c>
      <c r="I91" s="9">
        <f>SUM(D91:D92)/2</f>
        <v>12.768604651162791</v>
      </c>
      <c r="J91" s="9">
        <f>IF(Design!$H$16="x",H91,0)</f>
        <v>23.637209302325584</v>
      </c>
      <c r="K91" s="9">
        <f>IF(Design!$H$16="x",I91,0)</f>
        <v>12.768604651162791</v>
      </c>
      <c r="L91" s="19"/>
      <c r="M91" s="9">
        <f>M90</f>
        <v>0</v>
      </c>
      <c r="N91" s="9">
        <f>N85</f>
        <v>158.91452184146087</v>
      </c>
      <c r="O91" s="20">
        <f>O85</f>
        <v>571.8558139534886</v>
      </c>
      <c r="P91" s="8"/>
      <c r="Q91" s="8"/>
      <c r="R91" s="6"/>
      <c r="S91" s="8"/>
      <c r="T91" s="8"/>
      <c r="U91" s="6"/>
    </row>
    <row r="92" spans="1:21" ht="11.25">
      <c r="A92" s="2"/>
      <c r="B92" s="5">
        <f>B89+1</f>
        <v>25</v>
      </c>
      <c r="C92" s="192">
        <f>C91</f>
        <v>23.637209302325584</v>
      </c>
      <c r="D92" s="192">
        <f>Panels!$D$44</f>
        <v>23.637209302325584</v>
      </c>
      <c r="E92" s="15"/>
      <c r="F92" s="16">
        <f>IF(Design!$H$17="x",C92,0)</f>
        <v>23.637209302325584</v>
      </c>
      <c r="G92" s="12">
        <f>IF(Design!$H$17="x",D92,0)</f>
        <v>23.637209302325584</v>
      </c>
      <c r="H92" s="12"/>
      <c r="I92" s="12"/>
      <c r="J92" s="12">
        <f>J91</f>
        <v>23.637209302325584</v>
      </c>
      <c r="K92" s="12">
        <f>K91</f>
        <v>12.768604651162791</v>
      </c>
      <c r="L92" s="17"/>
      <c r="M92" s="12">
        <f>M91</f>
        <v>0</v>
      </c>
      <c r="N92" s="12">
        <f>N91</f>
        <v>158.91452184146087</v>
      </c>
      <c r="O92" s="18">
        <f>O91</f>
        <v>571.8558139534886</v>
      </c>
      <c r="P92" s="8"/>
      <c r="Q92" s="8"/>
      <c r="R92" s="6"/>
      <c r="S92" s="8"/>
      <c r="T92" s="8"/>
      <c r="U92" s="6"/>
    </row>
    <row r="93" spans="1:21" ht="11.25">
      <c r="A93" s="2" t="str">
        <f>IF(Alt_Config=1,"","S3S")</f>
        <v>S3S</v>
      </c>
      <c r="B93" s="2"/>
      <c r="C93" s="194"/>
      <c r="D93" s="194"/>
      <c r="E93" s="21"/>
      <c r="F93" s="22"/>
      <c r="G93" s="23"/>
      <c r="H93" s="23"/>
      <c r="I93" s="23"/>
      <c r="J93" s="23">
        <f>J92</f>
        <v>23.637209302325584</v>
      </c>
      <c r="K93" s="23">
        <f>K92</f>
        <v>12.768604651162791</v>
      </c>
      <c r="L93" s="24"/>
      <c r="M93" s="23">
        <f>((H87-H88)^2+(I87-I88)^2)^0.5</f>
        <v>0</v>
      </c>
      <c r="N93" s="23">
        <f>N87+M93</f>
        <v>196.65638230657714</v>
      </c>
      <c r="O93" s="26">
        <f>((C91-C92)^2+(D91-D92)^2)^0.5*Path!$H$16</f>
        <v>743.4125581395351</v>
      </c>
      <c r="P93" s="8"/>
      <c r="Q93" s="8"/>
      <c r="R93" s="6"/>
      <c r="S93" s="8"/>
      <c r="T93" s="8"/>
      <c r="U93" s="6"/>
    </row>
    <row r="94" spans="2:30" ht="11.25">
      <c r="B94" s="2"/>
      <c r="C94" s="192">
        <f>IF(Alt_Config=1,C85,(C85+C106)/2)</f>
        <v>12.768604651162791</v>
      </c>
      <c r="D94" s="192">
        <f>D91</f>
        <v>1.9</v>
      </c>
      <c r="E94" s="10"/>
      <c r="F94" s="9">
        <f>IF(Design!$H$17="x",C94,0)</f>
        <v>12.768604651162791</v>
      </c>
      <c r="G94" s="9">
        <f>IF(Design!$H$17="x",D94,0)</f>
        <v>1.9</v>
      </c>
      <c r="H94" s="9">
        <f>SUM(C94:C95)/2</f>
        <v>12.768604651162791</v>
      </c>
      <c r="I94" s="9">
        <f>SUM(D94:D95)/2</f>
        <v>12.768604651162791</v>
      </c>
      <c r="J94" s="9">
        <f>IF(Design!$H$16="x",H94,0)</f>
        <v>12.768604651162791</v>
      </c>
      <c r="K94" s="9">
        <f>IF(Design!$H$16="x",I94,0)</f>
        <v>12.768604651162791</v>
      </c>
      <c r="L94" s="10"/>
      <c r="M94" s="9">
        <f aca="true" t="shared" si="22" ref="M94:O95">M93</f>
        <v>0</v>
      </c>
      <c r="N94" s="9">
        <f t="shared" si="22"/>
        <v>196.65638230657714</v>
      </c>
      <c r="O94" s="20">
        <f t="shared" si="22"/>
        <v>743.4125581395351</v>
      </c>
      <c r="P94" s="8"/>
      <c r="Q94" s="8"/>
      <c r="R94" s="6"/>
      <c r="S94" s="8"/>
      <c r="T94" s="8"/>
      <c r="U94" s="6"/>
      <c r="Y94" s="6"/>
      <c r="Z94" s="6"/>
      <c r="AA94" s="6"/>
      <c r="AB94" s="6"/>
      <c r="AC94" s="7"/>
      <c r="AD94" s="7"/>
    </row>
    <row r="95" spans="2:32" ht="11.25">
      <c r="B95" s="5">
        <f>B92+1</f>
        <v>26</v>
      </c>
      <c r="C95" s="192">
        <f>C94</f>
        <v>12.768604651162791</v>
      </c>
      <c r="D95" s="192">
        <f>D92</f>
        <v>23.637209302325584</v>
      </c>
      <c r="E95" s="13"/>
      <c r="F95" s="12">
        <f>IF(Design!$H$17="x",C95,0)</f>
        <v>12.768604651162791</v>
      </c>
      <c r="G95" s="12">
        <f>IF(Design!$H$17="x",D95,0)</f>
        <v>23.637209302325584</v>
      </c>
      <c r="H95" s="12"/>
      <c r="I95" s="12"/>
      <c r="J95" s="12">
        <f>J94</f>
        <v>12.768604651162791</v>
      </c>
      <c r="K95" s="12">
        <f>K94</f>
        <v>12.768604651162791</v>
      </c>
      <c r="L95" s="13"/>
      <c r="M95" s="12">
        <f t="shared" si="22"/>
        <v>0</v>
      </c>
      <c r="N95" s="12">
        <f t="shared" si="22"/>
        <v>196.65638230657714</v>
      </c>
      <c r="O95" s="18">
        <f t="shared" si="22"/>
        <v>743.4125581395351</v>
      </c>
      <c r="P95" s="8"/>
      <c r="Q95" s="8"/>
      <c r="R95" s="6"/>
      <c r="S95" s="8"/>
      <c r="T95" s="8"/>
      <c r="U95" s="6"/>
      <c r="Y95" s="6"/>
      <c r="Z95" s="6"/>
      <c r="AA95" s="6"/>
      <c r="AB95" s="6"/>
      <c r="AC95" s="7"/>
      <c r="AD95" s="7"/>
      <c r="AE95" s="6"/>
      <c r="AF95" s="6"/>
    </row>
    <row r="96" spans="1:21" ht="11.25">
      <c r="A96" s="2" t="str">
        <f>IF(Alt_Config=1,"","S4")</f>
        <v>S4</v>
      </c>
      <c r="B96" s="2"/>
      <c r="C96" s="194"/>
      <c r="D96" s="194"/>
      <c r="E96" s="25"/>
      <c r="F96" s="25"/>
      <c r="G96" s="25"/>
      <c r="H96" s="25"/>
      <c r="I96" s="25"/>
      <c r="J96" s="23">
        <f>J95</f>
        <v>12.768604651162791</v>
      </c>
      <c r="K96" s="23">
        <f>K95</f>
        <v>12.768604651162791</v>
      </c>
      <c r="L96" s="25"/>
      <c r="M96" s="23">
        <f>((H94-H91)^2+(I94-I91)^2)^0.5</f>
        <v>10.868604651162793</v>
      </c>
      <c r="N96" s="23">
        <f>N93+M96</f>
        <v>207.52498695773994</v>
      </c>
      <c r="O96" s="26">
        <f>((C94-C95)^2+(D94-D95)^2)^0.5*Path!$H$16</f>
        <v>743.4125581395351</v>
      </c>
      <c r="P96" s="8"/>
      <c r="Q96" s="8"/>
      <c r="R96" s="6"/>
      <c r="S96" s="8"/>
      <c r="T96" s="8"/>
      <c r="U96" s="6"/>
    </row>
    <row r="97" spans="1:21" ht="11.25">
      <c r="A97" s="2" t="str">
        <f>IF(Alt_Config=1,"","S4S")</f>
        <v>S4S</v>
      </c>
      <c r="B97" s="2"/>
      <c r="C97" s="192">
        <f>IF(Alt_Config=1,C85,C106)</f>
        <v>1.9</v>
      </c>
      <c r="D97" s="192">
        <f>D94</f>
        <v>1.9</v>
      </c>
      <c r="E97" s="10"/>
      <c r="F97" s="9">
        <f>IF(Design!$H$17="x",C97,0)</f>
        <v>1.9</v>
      </c>
      <c r="G97" s="9">
        <f>IF(Design!$H$17="x",D97,0)</f>
        <v>1.9</v>
      </c>
      <c r="H97" s="9">
        <f>SUM(C97:C98)/2</f>
        <v>1.9</v>
      </c>
      <c r="I97" s="9">
        <f>SUM(D97:D98)/2</f>
        <v>12.768604651162791</v>
      </c>
      <c r="J97" s="9">
        <f>IF(Design!$H$16="x",H97,0)</f>
        <v>1.9</v>
      </c>
      <c r="K97" s="9">
        <f>IF(Design!$H$16="x",I97,0)</f>
        <v>12.768604651162791</v>
      </c>
      <c r="L97" s="10"/>
      <c r="M97" s="9">
        <f aca="true" t="shared" si="23" ref="M97:O98">M96</f>
        <v>10.868604651162793</v>
      </c>
      <c r="N97" s="9">
        <f t="shared" si="23"/>
        <v>207.52498695773994</v>
      </c>
      <c r="O97" s="20">
        <f t="shared" si="23"/>
        <v>743.4125581395351</v>
      </c>
      <c r="P97" s="8"/>
      <c r="Q97" s="8"/>
      <c r="R97" s="6"/>
      <c r="S97" s="8"/>
      <c r="T97" s="8"/>
      <c r="U97" s="6"/>
    </row>
    <row r="98" spans="2:21" ht="11.25">
      <c r="B98" s="5">
        <f>B95+1</f>
        <v>27</v>
      </c>
      <c r="C98" s="192">
        <f>C97</f>
        <v>1.9</v>
      </c>
      <c r="D98" s="192">
        <f>D95</f>
        <v>23.637209302325584</v>
      </c>
      <c r="E98" s="13"/>
      <c r="F98" s="12">
        <f>IF(Design!$H$17="x",C98,0)</f>
        <v>1.9</v>
      </c>
      <c r="G98" s="12">
        <f>IF(Design!$H$17="x",D98,0)</f>
        <v>23.637209302325584</v>
      </c>
      <c r="H98" s="12"/>
      <c r="I98" s="13"/>
      <c r="J98" s="12">
        <f>J97</f>
        <v>1.9</v>
      </c>
      <c r="K98" s="12">
        <f>K97</f>
        <v>12.768604651162791</v>
      </c>
      <c r="L98" s="13"/>
      <c r="M98" s="12">
        <f t="shared" si="23"/>
        <v>10.868604651162793</v>
      </c>
      <c r="N98" s="12">
        <f t="shared" si="23"/>
        <v>207.52498695773994</v>
      </c>
      <c r="O98" s="18">
        <f t="shared" si="23"/>
        <v>743.4125581395351</v>
      </c>
      <c r="P98" s="8"/>
      <c r="Q98" s="8"/>
      <c r="R98" s="6"/>
      <c r="S98" s="8"/>
      <c r="T98" s="8"/>
      <c r="U98" s="6"/>
    </row>
    <row r="99" spans="2:21" ht="11.25">
      <c r="B99" s="2"/>
      <c r="C99" s="194"/>
      <c r="D99" s="194"/>
      <c r="E99" s="25"/>
      <c r="F99" s="23"/>
      <c r="G99" s="23"/>
      <c r="H99" s="23"/>
      <c r="I99" s="25"/>
      <c r="J99" s="23">
        <f>J98</f>
        <v>1.9</v>
      </c>
      <c r="K99" s="23">
        <f>K98</f>
        <v>12.768604651162791</v>
      </c>
      <c r="L99" s="25"/>
      <c r="M99" s="23">
        <f>((H97-H94)^2+(I97-I94)^2)^0.5</f>
        <v>10.86860465116279</v>
      </c>
      <c r="N99" s="23">
        <f>N96+M99</f>
        <v>218.39359160890274</v>
      </c>
      <c r="O99" s="26">
        <f>((C97-C98)^2+(D97-D98)^2)^0.5*Path!$H$16</f>
        <v>743.4125581395351</v>
      </c>
      <c r="P99" s="8"/>
      <c r="Q99" s="8"/>
      <c r="R99" s="6"/>
      <c r="S99" s="8"/>
      <c r="T99" s="8"/>
      <c r="U99" s="6"/>
    </row>
    <row r="100" spans="2:21" ht="11.25">
      <c r="B100" s="5"/>
      <c r="C100" s="192">
        <f>IF(Alt_Config=1,C85,Panels!C56)</f>
        <v>0</v>
      </c>
      <c r="D100" s="192">
        <f>D97</f>
        <v>1.9</v>
      </c>
      <c r="E100" s="10"/>
      <c r="F100" s="9">
        <f>IF(Design!$H$17="x",C100,0)</f>
        <v>0</v>
      </c>
      <c r="G100" s="9">
        <f>IF(Design!$H$17="x",D100,0)</f>
        <v>1.9</v>
      </c>
      <c r="H100" s="9">
        <f>SUM(C100:C101)/2</f>
        <v>0</v>
      </c>
      <c r="I100" s="9">
        <f>SUM(D100:D101)/2</f>
        <v>12.768604651162791</v>
      </c>
      <c r="J100" s="9">
        <f>IF(Design!$H$16="x",H100,0)</f>
        <v>0</v>
      </c>
      <c r="K100" s="9">
        <f>IF(Design!$H$16="x",I100,0)</f>
        <v>12.768604651162791</v>
      </c>
      <c r="L100" s="10"/>
      <c r="M100" s="9">
        <f aca="true" t="shared" si="24" ref="M100:O101">M99</f>
        <v>10.86860465116279</v>
      </c>
      <c r="N100" s="9">
        <f t="shared" si="24"/>
        <v>218.39359160890274</v>
      </c>
      <c r="O100" s="20">
        <f t="shared" si="24"/>
        <v>743.4125581395351</v>
      </c>
      <c r="P100" s="8"/>
      <c r="Q100" s="8"/>
      <c r="R100" s="6"/>
      <c r="S100" s="8"/>
      <c r="T100" s="8"/>
      <c r="U100" s="6"/>
    </row>
    <row r="101" spans="2:21" ht="11.25">
      <c r="B101" s="5">
        <f>B98+1</f>
        <v>28</v>
      </c>
      <c r="C101" s="192">
        <f>C100</f>
        <v>0</v>
      </c>
      <c r="D101" s="192">
        <f>D98</f>
        <v>23.637209302325584</v>
      </c>
      <c r="E101" s="13"/>
      <c r="F101" s="12">
        <f>IF(Design!$H$17="x",C101,0)</f>
        <v>0</v>
      </c>
      <c r="G101" s="12">
        <f>IF(Design!$H$17="x",D101,0)</f>
        <v>23.637209302325584</v>
      </c>
      <c r="H101" s="12"/>
      <c r="I101" s="13"/>
      <c r="J101" s="12">
        <f>J100</f>
        <v>0</v>
      </c>
      <c r="K101" s="12">
        <f>K100</f>
        <v>12.768604651162791</v>
      </c>
      <c r="L101" s="13"/>
      <c r="M101" s="12">
        <f t="shared" si="24"/>
        <v>10.86860465116279</v>
      </c>
      <c r="N101" s="12">
        <f t="shared" si="24"/>
        <v>218.39359160890274</v>
      </c>
      <c r="O101" s="18">
        <f t="shared" si="24"/>
        <v>743.4125581395351</v>
      </c>
      <c r="P101" s="8"/>
      <c r="Q101" s="8"/>
      <c r="R101" s="6"/>
      <c r="S101" s="8"/>
      <c r="T101" s="8"/>
      <c r="U101" s="6"/>
    </row>
    <row r="102" spans="1:21" ht="11.25">
      <c r="A102" s="2" t="str">
        <f>IF(Alt_Config=1,"","S5")</f>
        <v>S5</v>
      </c>
      <c r="B102" s="2"/>
      <c r="C102" s="194"/>
      <c r="D102" s="194"/>
      <c r="E102" s="25"/>
      <c r="F102" s="25"/>
      <c r="G102" s="25"/>
      <c r="H102" s="25"/>
      <c r="I102" s="25"/>
      <c r="J102" s="23">
        <f>J101</f>
        <v>0</v>
      </c>
      <c r="K102" s="23">
        <f>K101</f>
        <v>12.768604651162791</v>
      </c>
      <c r="L102" s="25"/>
      <c r="M102" s="23">
        <f>((H100-H97)^2+(I100-I97)^2)^0.5</f>
        <v>1.9</v>
      </c>
      <c r="N102" s="23">
        <f>N99+M102</f>
        <v>220.29359160890274</v>
      </c>
      <c r="O102" s="26">
        <f>((C100-C101)^2+(D100-D101)^2)^0.5*Path!$H$16</f>
        <v>743.4125581395351</v>
      </c>
      <c r="P102" s="8"/>
      <c r="Q102" s="8"/>
      <c r="R102" s="6"/>
      <c r="S102" s="8"/>
      <c r="T102" s="8"/>
      <c r="U102" s="6"/>
    </row>
    <row r="103" spans="2:21" ht="11.25">
      <c r="B103" s="2"/>
      <c r="C103" s="326"/>
      <c r="D103" s="326"/>
      <c r="E103" s="13"/>
      <c r="F103" s="13"/>
      <c r="G103" s="13"/>
      <c r="H103" s="13"/>
      <c r="I103" s="13"/>
      <c r="J103" s="12"/>
      <c r="K103" s="12"/>
      <c r="L103" s="13"/>
      <c r="M103" s="12"/>
      <c r="N103" s="12"/>
      <c r="O103" s="18"/>
      <c r="P103" s="8"/>
      <c r="Q103" s="8"/>
      <c r="R103" s="6"/>
      <c r="S103" s="8"/>
      <c r="T103" s="8"/>
      <c r="U103" s="6"/>
    </row>
    <row r="104" spans="2:21" ht="11.25">
      <c r="B104" s="5">
        <f>B101+1</f>
        <v>29</v>
      </c>
      <c r="C104" s="194"/>
      <c r="D104" s="194"/>
      <c r="E104" s="13"/>
      <c r="F104" s="13"/>
      <c r="G104" s="13"/>
      <c r="H104" s="13"/>
      <c r="I104" s="13"/>
      <c r="J104" s="12"/>
      <c r="K104" s="12"/>
      <c r="L104" s="13"/>
      <c r="M104" s="12"/>
      <c r="N104" s="12"/>
      <c r="O104" s="18"/>
      <c r="P104" s="8"/>
      <c r="Q104" s="8"/>
      <c r="R104" s="6"/>
      <c r="S104" s="8"/>
      <c r="T104" s="8"/>
      <c r="U104" s="6"/>
    </row>
    <row r="105" spans="2:21" ht="11.25">
      <c r="B105" s="2"/>
      <c r="C105" s="194"/>
      <c r="D105" s="194"/>
      <c r="E105" s="13"/>
      <c r="F105" s="13"/>
      <c r="G105" s="13"/>
      <c r="H105" s="13"/>
      <c r="I105" s="13"/>
      <c r="J105" s="12"/>
      <c r="K105" s="12"/>
      <c r="L105" s="13"/>
      <c r="M105" s="12"/>
      <c r="N105" s="12"/>
      <c r="O105" s="18"/>
      <c r="P105" s="8"/>
      <c r="Q105" s="8"/>
      <c r="R105" s="6"/>
      <c r="S105" s="8"/>
      <c r="T105" s="8"/>
      <c r="U105" s="6"/>
    </row>
    <row r="106" spans="2:30" ht="11.25">
      <c r="B106" s="2"/>
      <c r="C106" s="298">
        <f>Panels!C69</f>
        <v>1.9</v>
      </c>
      <c r="D106" s="298">
        <f>Panels!D69</f>
        <v>70.1</v>
      </c>
      <c r="E106" s="299"/>
      <c r="F106" s="300">
        <f>IF(Design!$H$17="x",C106,0)</f>
        <v>1.9</v>
      </c>
      <c r="G106" s="300">
        <f>IF(Design!$H$17="x",D106,0)</f>
        <v>70.1</v>
      </c>
      <c r="H106" s="300">
        <f>SUM(C106:C107)/2</f>
        <v>12.768604651162791</v>
      </c>
      <c r="I106" s="300">
        <f>SUM(D106:D107)/2</f>
        <v>70.1</v>
      </c>
      <c r="J106" s="300">
        <f>IF(Design!$H$16="x",H106,0)</f>
        <v>12.768604651162791</v>
      </c>
      <c r="K106" s="300">
        <f>IF(Design!$H$16="x",I106,0)</f>
        <v>70.1</v>
      </c>
      <c r="L106" s="301"/>
      <c r="M106" s="299"/>
      <c r="N106" s="299"/>
      <c r="O106" s="302"/>
      <c r="P106" s="8"/>
      <c r="Q106" s="8"/>
      <c r="R106" s="6"/>
      <c r="S106" s="8"/>
      <c r="T106" s="8"/>
      <c r="U106" s="6"/>
      <c r="Y106" s="6"/>
      <c r="Z106" s="6"/>
      <c r="AA106" s="6"/>
      <c r="AB106" s="6"/>
      <c r="AC106" s="7"/>
      <c r="AD106" s="7"/>
    </row>
    <row r="107" spans="2:32" ht="11.25">
      <c r="B107" s="5">
        <f>B104+1</f>
        <v>30</v>
      </c>
      <c r="C107" s="298">
        <f>Panels!C73</f>
        <v>23.637209302325584</v>
      </c>
      <c r="D107" s="298">
        <f>D106</f>
        <v>70.1</v>
      </c>
      <c r="E107" s="303"/>
      <c r="F107" s="304">
        <f>IF(Design!$H$17="x",C107,0)</f>
        <v>23.637209302325584</v>
      </c>
      <c r="G107" s="304">
        <f>IF(Design!$H$17="x",D107,0)</f>
        <v>70.1</v>
      </c>
      <c r="H107" s="304"/>
      <c r="I107" s="304"/>
      <c r="J107" s="304">
        <f>J106</f>
        <v>12.768604651162791</v>
      </c>
      <c r="K107" s="304">
        <f>K106</f>
        <v>70.1</v>
      </c>
      <c r="L107" s="305"/>
      <c r="M107" s="303"/>
      <c r="N107" s="304"/>
      <c r="O107" s="306"/>
      <c r="P107" s="8"/>
      <c r="Q107" s="8"/>
      <c r="R107" s="6"/>
      <c r="S107" s="8"/>
      <c r="T107" s="8"/>
      <c r="U107" s="6"/>
      <c r="Y107" s="6"/>
      <c r="Z107" s="6"/>
      <c r="AA107" s="6"/>
      <c r="AB107" s="6"/>
      <c r="AC107" s="7"/>
      <c r="AD107" s="7"/>
      <c r="AE107" s="6"/>
      <c r="AF107" s="6"/>
    </row>
    <row r="108" spans="1:21" ht="11.25">
      <c r="A108" s="2"/>
      <c r="B108" s="2"/>
      <c r="C108" s="307"/>
      <c r="D108" s="307"/>
      <c r="E108" s="308"/>
      <c r="F108" s="309"/>
      <c r="G108" s="310"/>
      <c r="H108" s="310"/>
      <c r="I108" s="310"/>
      <c r="J108" s="304">
        <f>J107</f>
        <v>12.768604651162791</v>
      </c>
      <c r="K108" s="304">
        <f>K107</f>
        <v>70.1</v>
      </c>
      <c r="L108" s="311"/>
      <c r="M108" s="304">
        <v>0</v>
      </c>
      <c r="N108" s="304">
        <f>M108</f>
        <v>0</v>
      </c>
      <c r="O108" s="312">
        <f>((C106-C107)^2+(D106-D107)^2)^0.5*Path!$H$16</f>
        <v>743.4125581395351</v>
      </c>
      <c r="P108" s="8"/>
      <c r="Q108" s="8"/>
      <c r="R108" s="6"/>
      <c r="S108" s="8"/>
      <c r="T108" s="8"/>
      <c r="U108" s="6"/>
    </row>
    <row r="109" spans="2:21" ht="11.25">
      <c r="B109" s="2"/>
      <c r="C109" s="298">
        <f>C106</f>
        <v>1.9</v>
      </c>
      <c r="D109" s="298">
        <f>Panels!D39</f>
        <v>51.199999999999996</v>
      </c>
      <c r="E109" s="299"/>
      <c r="F109" s="300">
        <f>IF(Design!$H$17="x",C109,0)</f>
        <v>1.9</v>
      </c>
      <c r="G109" s="300">
        <f>IF(Design!$H$17="x",D109,0)</f>
        <v>51.199999999999996</v>
      </c>
      <c r="H109" s="300">
        <f>SUM(C109:C110)/2</f>
        <v>12.768604651162791</v>
      </c>
      <c r="I109" s="300">
        <f>SUM(D109:D110)/2</f>
        <v>51.199999999999996</v>
      </c>
      <c r="J109" s="300">
        <f>IF(Design!$H$16="x",H109,0)</f>
        <v>12.768604651162791</v>
      </c>
      <c r="K109" s="300">
        <f>IF(Design!$H$16="x",I109,0)</f>
        <v>51.199999999999996</v>
      </c>
      <c r="L109" s="301"/>
      <c r="M109" s="300">
        <f aca="true" t="shared" si="25" ref="M109:O110">M108</f>
        <v>0</v>
      </c>
      <c r="N109" s="300">
        <f t="shared" si="25"/>
        <v>0</v>
      </c>
      <c r="O109" s="313">
        <f t="shared" si="25"/>
        <v>743.4125581395351</v>
      </c>
      <c r="P109" s="8"/>
      <c r="Q109" s="8"/>
      <c r="R109" s="6"/>
      <c r="S109" s="8"/>
      <c r="T109" s="8"/>
      <c r="U109" s="6"/>
    </row>
    <row r="110" spans="2:21" ht="11.25">
      <c r="B110" s="5">
        <f>B107+1</f>
        <v>31</v>
      </c>
      <c r="C110" s="298">
        <f>C107</f>
        <v>23.637209302325584</v>
      </c>
      <c r="D110" s="298">
        <f>D109</f>
        <v>51.199999999999996</v>
      </c>
      <c r="E110" s="303"/>
      <c r="F110" s="304">
        <f>IF(Design!$H$17="x",C110,0)</f>
        <v>23.637209302325584</v>
      </c>
      <c r="G110" s="304">
        <f>IF(Design!$H$17="x",D110,0)</f>
        <v>51.199999999999996</v>
      </c>
      <c r="H110" s="304"/>
      <c r="I110" s="304"/>
      <c r="J110" s="304">
        <f>J109</f>
        <v>12.768604651162791</v>
      </c>
      <c r="K110" s="304">
        <f>K109</f>
        <v>51.199999999999996</v>
      </c>
      <c r="L110" s="305"/>
      <c r="M110" s="304">
        <f t="shared" si="25"/>
        <v>0</v>
      </c>
      <c r="N110" s="304">
        <f t="shared" si="25"/>
        <v>0</v>
      </c>
      <c r="O110" s="312">
        <f t="shared" si="25"/>
        <v>743.4125581395351</v>
      </c>
      <c r="P110" s="8"/>
      <c r="Q110" s="8"/>
      <c r="R110" s="6"/>
      <c r="S110" s="8"/>
      <c r="T110" s="8"/>
      <c r="U110" s="6"/>
    </row>
    <row r="111" spans="1:21" ht="11.25">
      <c r="A111" s="2" t="s">
        <v>182</v>
      </c>
      <c r="B111" s="2"/>
      <c r="C111" s="307"/>
      <c r="D111" s="307"/>
      <c r="E111" s="308"/>
      <c r="F111" s="309"/>
      <c r="G111" s="310"/>
      <c r="H111" s="310"/>
      <c r="I111" s="310"/>
      <c r="J111" s="304">
        <f>J110</f>
        <v>12.768604651162791</v>
      </c>
      <c r="K111" s="304">
        <f>K110</f>
        <v>51.199999999999996</v>
      </c>
      <c r="L111" s="311"/>
      <c r="M111" s="310">
        <f>((H109-H106)^2+(I109-I106)^2)^0.5</f>
        <v>18.9</v>
      </c>
      <c r="N111" s="310">
        <f>N108+M111</f>
        <v>18.9</v>
      </c>
      <c r="O111" s="312">
        <f>((C109-C110)^2+(D109-D110)^2)^0.5*Path!$H$16</f>
        <v>743.4125581395351</v>
      </c>
      <c r="P111" s="8"/>
      <c r="Q111" s="8"/>
      <c r="R111" s="6"/>
      <c r="S111" s="8"/>
      <c r="T111" s="8"/>
      <c r="U111" s="6"/>
    </row>
    <row r="112" spans="2:21" ht="11.25">
      <c r="B112" s="2"/>
      <c r="C112" s="298">
        <f>C109</f>
        <v>1.9</v>
      </c>
      <c r="D112" s="298">
        <f>D115+p</f>
        <v>25.537209302325582</v>
      </c>
      <c r="E112" s="299"/>
      <c r="F112" s="300">
        <f>IF(Design!$H$17="x",C112,0)</f>
        <v>1.9</v>
      </c>
      <c r="G112" s="300">
        <f>IF(Design!$H$17="x",D112,0)</f>
        <v>25.537209302325582</v>
      </c>
      <c r="H112" s="300">
        <f>SUM(C112:C113)/2</f>
        <v>12.768604651162791</v>
      </c>
      <c r="I112" s="300">
        <f>SUM(D112:D113)/2</f>
        <v>25.537209302325582</v>
      </c>
      <c r="J112" s="300">
        <f>IF(Design!$H$16="x",H112,0)</f>
        <v>12.768604651162791</v>
      </c>
      <c r="K112" s="300">
        <f>IF(Design!$H$16="x",I112,0)</f>
        <v>25.537209302325582</v>
      </c>
      <c r="L112" s="301"/>
      <c r="M112" s="300">
        <f aca="true" t="shared" si="26" ref="M112:O113">M111</f>
        <v>18.9</v>
      </c>
      <c r="N112" s="300">
        <f t="shared" si="26"/>
        <v>18.9</v>
      </c>
      <c r="O112" s="313">
        <f t="shared" si="26"/>
        <v>743.4125581395351</v>
      </c>
      <c r="P112" s="8"/>
      <c r="Q112" s="8"/>
      <c r="R112" s="6"/>
      <c r="S112" s="8"/>
      <c r="T112" s="8"/>
      <c r="U112" s="6"/>
    </row>
    <row r="113" spans="2:21" ht="11.25">
      <c r="B113" s="5">
        <f>B110+1</f>
        <v>32</v>
      </c>
      <c r="C113" s="298">
        <f>C110</f>
        <v>23.637209302325584</v>
      </c>
      <c r="D113" s="298">
        <f>D112</f>
        <v>25.537209302325582</v>
      </c>
      <c r="E113" s="303"/>
      <c r="F113" s="304">
        <f>IF(Design!$H$17="x",C113,0)</f>
        <v>23.637209302325584</v>
      </c>
      <c r="G113" s="304">
        <f>IF(Design!$H$17="x",D113,0)</f>
        <v>25.537209302325582</v>
      </c>
      <c r="H113" s="304"/>
      <c r="I113" s="304"/>
      <c r="J113" s="304">
        <f>J112</f>
        <v>12.768604651162791</v>
      </c>
      <c r="K113" s="304">
        <f>K112</f>
        <v>25.537209302325582</v>
      </c>
      <c r="L113" s="305"/>
      <c r="M113" s="304">
        <f t="shared" si="26"/>
        <v>18.9</v>
      </c>
      <c r="N113" s="304">
        <f t="shared" si="26"/>
        <v>18.9</v>
      </c>
      <c r="O113" s="312">
        <f t="shared" si="26"/>
        <v>743.4125581395351</v>
      </c>
      <c r="P113" s="8"/>
      <c r="Q113" s="8"/>
      <c r="R113" s="6"/>
      <c r="S113" s="8"/>
      <c r="T113" s="8"/>
      <c r="U113" s="6"/>
    </row>
    <row r="114" spans="1:21" ht="11.25">
      <c r="A114" s="2" t="s">
        <v>184</v>
      </c>
      <c r="B114" s="2"/>
      <c r="C114" s="307"/>
      <c r="D114" s="307"/>
      <c r="E114" s="308"/>
      <c r="F114" s="309"/>
      <c r="G114" s="310"/>
      <c r="H114" s="310"/>
      <c r="I114" s="310"/>
      <c r="J114" s="304">
        <f>J113</f>
        <v>12.768604651162791</v>
      </c>
      <c r="K114" s="304">
        <f>K113</f>
        <v>25.537209302325582</v>
      </c>
      <c r="L114" s="311"/>
      <c r="M114" s="310">
        <f>((H112-H109)^2+(I112-I109)^2)^0.5</f>
        <v>25.662790697674414</v>
      </c>
      <c r="N114" s="310">
        <f>N111+M114</f>
        <v>44.562790697674416</v>
      </c>
      <c r="O114" s="312">
        <f>((C112-C113)^2+(D112-D113)^2)^0.5*Path!$H$16</f>
        <v>743.4125581395351</v>
      </c>
      <c r="P114" s="8"/>
      <c r="Q114" s="8"/>
      <c r="R114" s="6"/>
      <c r="S114" s="8"/>
      <c r="T114" s="8"/>
      <c r="U114" s="6"/>
    </row>
    <row r="115" spans="1:21" ht="11.25">
      <c r="A115" s="2"/>
      <c r="B115" s="2"/>
      <c r="C115" s="298">
        <f>C112</f>
        <v>1.9</v>
      </c>
      <c r="D115" s="298">
        <f>D118</f>
        <v>23.637209302325584</v>
      </c>
      <c r="E115" s="299"/>
      <c r="F115" s="300">
        <f>IF(Design!$H$17="x",C115,0)</f>
        <v>1.9</v>
      </c>
      <c r="G115" s="300">
        <f>IF(Design!$H$17="x",D115,0)</f>
        <v>23.637209302325584</v>
      </c>
      <c r="H115" s="300">
        <f>SUM(C115:C116)/2</f>
        <v>12.768604651162791</v>
      </c>
      <c r="I115" s="300">
        <f>SUM(D115:D116)/2</f>
        <v>23.637209302325584</v>
      </c>
      <c r="J115" s="300">
        <f>IF(Design!$H$16="x",H115,0)</f>
        <v>12.768604651162791</v>
      </c>
      <c r="K115" s="300">
        <f>IF(Design!$H$16="x",I115,0)</f>
        <v>23.637209302325584</v>
      </c>
      <c r="L115" s="301"/>
      <c r="M115" s="300">
        <f aca="true" t="shared" si="27" ref="M115:O116">M114</f>
        <v>25.662790697674414</v>
      </c>
      <c r="N115" s="300">
        <f t="shared" si="27"/>
        <v>44.562790697674416</v>
      </c>
      <c r="O115" s="313">
        <f t="shared" si="27"/>
        <v>743.4125581395351</v>
      </c>
      <c r="P115" s="8"/>
      <c r="Q115" s="8"/>
      <c r="R115" s="6"/>
      <c r="S115" s="8"/>
      <c r="T115" s="8"/>
      <c r="U115" s="6"/>
    </row>
    <row r="116" spans="2:21" ht="11.25">
      <c r="B116" s="5">
        <f>B113+1</f>
        <v>33</v>
      </c>
      <c r="C116" s="298">
        <f>C113</f>
        <v>23.637209302325584</v>
      </c>
      <c r="D116" s="298">
        <f>D115</f>
        <v>23.637209302325584</v>
      </c>
      <c r="E116" s="303"/>
      <c r="F116" s="304">
        <f>IF(Design!$H$17="x",C116,0)</f>
        <v>23.637209302325584</v>
      </c>
      <c r="G116" s="304">
        <f>IF(Design!$H$17="x",D116,0)</f>
        <v>23.637209302325584</v>
      </c>
      <c r="H116" s="304"/>
      <c r="I116" s="304"/>
      <c r="J116" s="304">
        <f>J115</f>
        <v>12.768604651162791</v>
      </c>
      <c r="K116" s="304">
        <f>K115</f>
        <v>23.637209302325584</v>
      </c>
      <c r="L116" s="305"/>
      <c r="M116" s="304">
        <f t="shared" si="27"/>
        <v>25.662790697674414</v>
      </c>
      <c r="N116" s="304">
        <f t="shared" si="27"/>
        <v>44.562790697674416</v>
      </c>
      <c r="O116" s="312">
        <f t="shared" si="27"/>
        <v>743.4125581395351</v>
      </c>
      <c r="P116" s="8"/>
      <c r="Q116" s="8"/>
      <c r="R116" s="6"/>
      <c r="S116" s="8"/>
      <c r="T116" s="8"/>
      <c r="U116" s="6"/>
    </row>
    <row r="117" spans="1:21" ht="11.25">
      <c r="A117" s="2" t="s">
        <v>186</v>
      </c>
      <c r="B117" s="2"/>
      <c r="C117" s="307"/>
      <c r="D117" s="307"/>
      <c r="E117" s="308"/>
      <c r="F117" s="309"/>
      <c r="G117" s="310"/>
      <c r="H117" s="310"/>
      <c r="I117" s="310"/>
      <c r="J117" s="310">
        <f>J116</f>
        <v>12.768604651162791</v>
      </c>
      <c r="K117" s="310">
        <f>K116</f>
        <v>23.637209302325584</v>
      </c>
      <c r="L117" s="311"/>
      <c r="M117" s="310">
        <f>((H115-H112)^2+(I115-I112)^2)^0.5</f>
        <v>1.8999999999999986</v>
      </c>
      <c r="N117" s="310">
        <f>N114+M117</f>
        <v>46.462790697674414</v>
      </c>
      <c r="O117" s="314">
        <f>((C115-C116)^2+(D115-D116)^2)^0.5*Path!$H$16</f>
        <v>743.4125581395351</v>
      </c>
      <c r="P117" s="8"/>
      <c r="Q117" s="8"/>
      <c r="R117" s="6"/>
      <c r="S117" s="8"/>
      <c r="T117" s="8"/>
      <c r="U117" s="6"/>
    </row>
    <row r="118" spans="2:20" ht="11.25">
      <c r="B118" s="2"/>
      <c r="C118" s="192">
        <f>C115</f>
        <v>1.9</v>
      </c>
      <c r="D118" s="192">
        <f>IF(Alt_Config=1,I85,D121)</f>
        <v>23.637209302325584</v>
      </c>
      <c r="E118" s="10"/>
      <c r="F118" s="9">
        <f>IF(Design!$H$17="x",C118,0)</f>
        <v>1.9</v>
      </c>
      <c r="G118" s="9">
        <f>IF(Design!$H$17="x",D118,0)</f>
        <v>23.637209302325584</v>
      </c>
      <c r="H118" s="9">
        <f>SUM(C118:C119)/2</f>
        <v>12.768604651162791</v>
      </c>
      <c r="I118" s="9">
        <f>SUM(D118:D119)/2</f>
        <v>23.637209302325584</v>
      </c>
      <c r="J118" s="9">
        <f>IF(Design!$H$16="x",H118,0)</f>
        <v>12.768604651162791</v>
      </c>
      <c r="K118" s="9">
        <f>IF(Design!$H$16="x",I118,0)</f>
        <v>23.637209302325584</v>
      </c>
      <c r="L118" s="19"/>
      <c r="M118" s="9">
        <f>M117</f>
        <v>1.8999999999999986</v>
      </c>
      <c r="N118" s="9">
        <v>0</v>
      </c>
      <c r="O118" s="20">
        <f>O117</f>
        <v>743.4125581395351</v>
      </c>
      <c r="P118" s="8"/>
      <c r="Q118" s="8"/>
      <c r="S118" s="8"/>
      <c r="T118" s="8"/>
    </row>
    <row r="119" spans="2:20" ht="11.25">
      <c r="B119" s="5">
        <f>B116+1</f>
        <v>34</v>
      </c>
      <c r="C119" s="192">
        <f>C116</f>
        <v>23.637209302325584</v>
      </c>
      <c r="D119" s="192">
        <f>D118</f>
        <v>23.637209302325584</v>
      </c>
      <c r="E119" s="13"/>
      <c r="F119" s="12">
        <f>IF(Design!$H$17="x",C119,0)</f>
        <v>23.637209302325584</v>
      </c>
      <c r="G119" s="12">
        <f>IF(Design!$H$17="x",D119,0)</f>
        <v>23.637209302325584</v>
      </c>
      <c r="H119" s="12"/>
      <c r="I119" s="12"/>
      <c r="J119" s="12">
        <f>J118</f>
        <v>12.768604651162791</v>
      </c>
      <c r="K119" s="12">
        <f>K118</f>
        <v>23.637209302325584</v>
      </c>
      <c r="L119" s="17"/>
      <c r="M119" s="12">
        <f>M118</f>
        <v>1.8999999999999986</v>
      </c>
      <c r="N119" s="12">
        <f>N118</f>
        <v>0</v>
      </c>
      <c r="O119" s="18">
        <f>O118</f>
        <v>743.4125581395351</v>
      </c>
      <c r="P119" s="8"/>
      <c r="Q119" s="8"/>
      <c r="S119" s="8"/>
      <c r="T119" s="8"/>
    </row>
    <row r="120" spans="1:20" ht="11.25">
      <c r="A120" s="2">
        <f>IF(Alt_Config=1,"S4S","")</f>
      </c>
      <c r="B120" s="2"/>
      <c r="C120" s="194"/>
      <c r="D120" s="194"/>
      <c r="E120" s="21"/>
      <c r="F120" s="22"/>
      <c r="G120" s="23"/>
      <c r="H120" s="23"/>
      <c r="I120" s="23"/>
      <c r="J120" s="23">
        <f>J119</f>
        <v>12.768604651162791</v>
      </c>
      <c r="K120" s="23">
        <f>K119</f>
        <v>23.637209302325584</v>
      </c>
      <c r="L120" s="24"/>
      <c r="M120" s="23">
        <v>0</v>
      </c>
      <c r="N120" s="23">
        <f>N119+M120</f>
        <v>0</v>
      </c>
      <c r="O120" s="26">
        <f>((C118-C119)^2+(D118-D119)^2)^0.5*Path!$H$16</f>
        <v>743.4125581395351</v>
      </c>
      <c r="P120" s="8"/>
      <c r="Q120" s="8"/>
      <c r="S120" s="8"/>
      <c r="T120" s="8"/>
    </row>
    <row r="121" spans="2:15" ht="11.25">
      <c r="B121" s="2"/>
      <c r="C121" s="192">
        <f>C118</f>
        <v>1.9</v>
      </c>
      <c r="D121" s="192">
        <f>IF(Alt_Config=1,Panels!$D$56,D92)</f>
        <v>23.637209302325584</v>
      </c>
      <c r="E121" s="10"/>
      <c r="F121" s="9">
        <f>IF(Design!$H$17="x",C121,0)</f>
        <v>1.9</v>
      </c>
      <c r="G121" s="9">
        <f>IF(Design!$H$17="x",D121,0)</f>
        <v>23.637209302325584</v>
      </c>
      <c r="H121" s="9">
        <f>SUM(C121:C122)/2</f>
        <v>12.768604651162791</v>
      </c>
      <c r="I121" s="9">
        <f>SUM(D121:D122)/2</f>
        <v>23.637209302325584</v>
      </c>
      <c r="J121" s="9">
        <f>IF(Design!$H$16="x",H121,0)</f>
        <v>12.768604651162791</v>
      </c>
      <c r="K121" s="9">
        <f>IF(Design!$H$16="x",I121,0)</f>
        <v>23.637209302325584</v>
      </c>
      <c r="L121" s="19"/>
      <c r="M121" s="9">
        <f aca="true" t="shared" si="28" ref="M121:O122">M120</f>
        <v>0</v>
      </c>
      <c r="N121" s="9">
        <f t="shared" si="28"/>
        <v>0</v>
      </c>
      <c r="O121" s="20">
        <f t="shared" si="28"/>
        <v>743.4125581395351</v>
      </c>
    </row>
    <row r="122" spans="2:15" ht="11.25">
      <c r="B122" s="5">
        <f>B119+1</f>
        <v>35</v>
      </c>
      <c r="C122" s="192">
        <f>C119</f>
        <v>23.637209302325584</v>
      </c>
      <c r="D122" s="192">
        <f>D121</f>
        <v>23.637209302325584</v>
      </c>
      <c r="E122" s="13"/>
      <c r="F122" s="12">
        <f>IF(Design!$H$17="x",C122,0)</f>
        <v>23.637209302325584</v>
      </c>
      <c r="G122" s="12">
        <f>IF(Design!$H$17="x",D122,0)</f>
        <v>23.637209302325584</v>
      </c>
      <c r="H122" s="12"/>
      <c r="I122" s="12"/>
      <c r="J122" s="12">
        <f>J121</f>
        <v>12.768604651162791</v>
      </c>
      <c r="K122" s="12">
        <f>K121</f>
        <v>23.637209302325584</v>
      </c>
      <c r="L122" s="17"/>
      <c r="M122" s="12">
        <f t="shared" si="28"/>
        <v>0</v>
      </c>
      <c r="N122" s="12">
        <f t="shared" si="28"/>
        <v>0</v>
      </c>
      <c r="O122" s="18">
        <f t="shared" si="28"/>
        <v>743.4125581395351</v>
      </c>
    </row>
    <row r="123" spans="1:15" ht="11.25">
      <c r="A123" s="2">
        <f>IF(Alt_Config=1,"S5","")</f>
      </c>
      <c r="B123" s="2"/>
      <c r="C123" s="194"/>
      <c r="D123" s="194"/>
      <c r="E123" s="21"/>
      <c r="F123" s="22"/>
      <c r="G123" s="23"/>
      <c r="H123" s="23"/>
      <c r="I123" s="23"/>
      <c r="J123" s="23">
        <f>J122</f>
        <v>12.768604651162791</v>
      </c>
      <c r="K123" s="23">
        <f>K122</f>
        <v>23.637209302325584</v>
      </c>
      <c r="L123" s="24"/>
      <c r="M123" s="23">
        <f>((H121-H118)^2+(I121-I118)^2)^0.5</f>
        <v>0</v>
      </c>
      <c r="N123" s="23">
        <f>N120+M123</f>
        <v>0</v>
      </c>
      <c r="O123" s="26">
        <f>((C121-C122)^2+(D121-D122)^2)^0.5*Path!$H$16</f>
        <v>743.4125581395351</v>
      </c>
    </row>
    <row r="124" spans="3:15" ht="11.25">
      <c r="C124" s="195"/>
      <c r="D124" s="195"/>
      <c r="E124" s="28"/>
      <c r="F124" s="27"/>
      <c r="G124" s="27"/>
      <c r="H124" s="27"/>
      <c r="I124" s="27"/>
      <c r="J124" s="27"/>
      <c r="K124" s="27"/>
      <c r="L124" s="28"/>
      <c r="M124" s="27"/>
      <c r="N124" s="27"/>
      <c r="O124" s="29"/>
    </row>
    <row r="125" spans="3:15" ht="11.25">
      <c r="C125" s="195"/>
      <c r="D125" s="195"/>
      <c r="E125" s="31"/>
      <c r="F125" s="30"/>
      <c r="G125" s="30"/>
      <c r="H125" s="32"/>
      <c r="I125" s="33"/>
      <c r="J125" s="30"/>
      <c r="K125" s="30"/>
      <c r="L125" s="31"/>
      <c r="M125" s="30"/>
      <c r="N125" s="30"/>
      <c r="O125" s="34"/>
    </row>
    <row r="126" spans="3:15" ht="11.25">
      <c r="C126" s="196"/>
      <c r="D126" s="196"/>
      <c r="E126" s="35"/>
      <c r="F126" s="35"/>
      <c r="G126" s="35"/>
      <c r="H126" s="35"/>
      <c r="I126" s="35"/>
      <c r="J126" s="36"/>
      <c r="K126" s="36"/>
      <c r="L126" s="35"/>
      <c r="M126" s="36"/>
      <c r="N126" s="36"/>
      <c r="O126" s="37"/>
    </row>
  </sheetData>
  <sheetProtection sheet="1"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B46"/>
  <sheetViews>
    <sheetView showGridLines="0" showRowColHeaders="0" zoomScalePageLayoutView="0" workbookViewId="0" topLeftCell="A1">
      <selection activeCell="C3" sqref="C3"/>
    </sheetView>
  </sheetViews>
  <sheetFormatPr defaultColWidth="9.140625" defaultRowHeight="12.75"/>
  <cols>
    <col min="1" max="7" width="9.140625" style="41" customWidth="1"/>
    <col min="8" max="8" width="1.57421875" style="41" customWidth="1"/>
    <col min="9" max="16384" width="9.140625" style="41" customWidth="1"/>
  </cols>
  <sheetData>
    <row r="1" spans="1:7" ht="12.75">
      <c r="A1" s="38" t="s">
        <v>43</v>
      </c>
      <c r="B1" s="39"/>
      <c r="C1" s="40" t="s">
        <v>5</v>
      </c>
      <c r="D1" s="40" t="s">
        <v>6</v>
      </c>
      <c r="E1" s="39"/>
      <c r="F1" s="40" t="s">
        <v>5</v>
      </c>
      <c r="G1" s="40" t="s">
        <v>6</v>
      </c>
    </row>
    <row r="2" spans="1:28" ht="12.75">
      <c r="A2" s="39"/>
      <c r="B2" s="39"/>
      <c r="C2" s="255">
        <f>Panels!C72</f>
        <v>23.637209302325584</v>
      </c>
      <c r="D2" s="255">
        <f>D8</f>
        <v>72</v>
      </c>
      <c r="E2" s="44"/>
      <c r="F2" s="43">
        <f>IF(Design!$H$19="x",C2,0)</f>
        <v>0</v>
      </c>
      <c r="G2" s="45">
        <f>IF(Design!$H$19="x",D2,0)</f>
        <v>0</v>
      </c>
      <c r="H2" s="41" t="s">
        <v>166</v>
      </c>
      <c r="T2" s="38"/>
      <c r="U2" s="46"/>
      <c r="V2" s="46"/>
      <c r="W2" s="46"/>
      <c r="X2" s="46"/>
      <c r="Y2" s="46"/>
      <c r="Z2" s="46"/>
      <c r="AA2" s="46"/>
      <c r="AB2" s="46"/>
    </row>
    <row r="3" spans="1:28" ht="12.75">
      <c r="A3" s="39"/>
      <c r="B3" s="47">
        <v>1</v>
      </c>
      <c r="C3" s="255">
        <f>C2</f>
        <v>23.637209302325584</v>
      </c>
      <c r="D3" s="255">
        <f>D21</f>
        <v>0</v>
      </c>
      <c r="E3" s="50"/>
      <c r="F3" s="49">
        <f>IF(Design!$H$19="x",C3,0)</f>
        <v>0</v>
      </c>
      <c r="G3" s="51">
        <f>IF(Design!$H$19="x",D3,0)</f>
        <v>0</v>
      </c>
      <c r="T3" s="46"/>
      <c r="U3" s="46"/>
      <c r="V3" s="46"/>
      <c r="W3" s="46"/>
      <c r="X3" s="46"/>
      <c r="Y3" s="46"/>
      <c r="Z3" s="46"/>
      <c r="AA3" s="46"/>
      <c r="AB3" s="46"/>
    </row>
    <row r="4" spans="1:28" ht="12.75">
      <c r="A4" s="39"/>
      <c r="B4" s="38"/>
      <c r="C4" s="256"/>
      <c r="D4" s="256"/>
      <c r="E4" s="53"/>
      <c r="F4" s="54"/>
      <c r="G4" s="55"/>
      <c r="T4" s="46"/>
      <c r="U4" s="40"/>
      <c r="V4" s="40"/>
      <c r="W4" s="40"/>
      <c r="X4" s="40"/>
      <c r="Y4" s="40"/>
      <c r="Z4" s="40"/>
      <c r="AA4" s="40"/>
      <c r="AB4" s="40"/>
    </row>
    <row r="5" spans="1:28" ht="12.75">
      <c r="A5" s="39"/>
      <c r="B5" s="39"/>
      <c r="C5" s="255">
        <f>Panels!C56</f>
        <v>0</v>
      </c>
      <c r="D5" s="255">
        <f>Panels!D72</f>
        <v>18.62093023255814</v>
      </c>
      <c r="E5" s="44"/>
      <c r="F5" s="43">
        <f>IF(Design!$H$19="x",C5,0)</f>
        <v>0</v>
      </c>
      <c r="G5" s="45">
        <f>IF(Design!$H$19="x",D5,0)</f>
        <v>0</v>
      </c>
      <c r="T5" s="38"/>
      <c r="U5" s="56"/>
      <c r="V5" s="56"/>
      <c r="W5" s="56"/>
      <c r="X5" s="56"/>
      <c r="Y5" s="57"/>
      <c r="Z5" s="57"/>
      <c r="AA5" s="46"/>
      <c r="AB5" s="56"/>
    </row>
    <row r="6" spans="1:28" ht="12.75">
      <c r="A6" s="39"/>
      <c r="B6" s="38">
        <v>2</v>
      </c>
      <c r="C6" s="255">
        <f>Panels!C57</f>
        <v>80</v>
      </c>
      <c r="D6" s="255">
        <f>D5</f>
        <v>18.62093023255814</v>
      </c>
      <c r="E6" s="50"/>
      <c r="F6" s="49">
        <f>IF(Design!$H$19="x",C6,0)</f>
        <v>0</v>
      </c>
      <c r="G6" s="51">
        <f>IF(Design!$H$19="x",D6,0)</f>
        <v>0</v>
      </c>
      <c r="T6" s="38"/>
      <c r="U6" s="56"/>
      <c r="V6" s="56"/>
      <c r="W6" s="56"/>
      <c r="X6" s="56"/>
      <c r="Y6" s="57"/>
      <c r="Z6" s="57"/>
      <c r="AA6" s="56"/>
      <c r="AB6" s="56"/>
    </row>
    <row r="7" spans="1:28" ht="12.75">
      <c r="A7" s="39"/>
      <c r="B7" s="39"/>
      <c r="C7" s="256"/>
      <c r="D7" s="256"/>
      <c r="E7" s="59"/>
      <c r="F7" s="54"/>
      <c r="G7" s="55"/>
      <c r="T7" s="46"/>
      <c r="U7" s="46"/>
      <c r="V7" s="46"/>
      <c r="W7" s="46"/>
      <c r="X7" s="46"/>
      <c r="Y7" s="46"/>
      <c r="Z7" s="46"/>
      <c r="AA7" s="46"/>
      <c r="AB7" s="46"/>
    </row>
    <row r="8" spans="1:28" ht="12.75">
      <c r="A8" s="39"/>
      <c r="B8" s="38"/>
      <c r="C8" s="255">
        <f>Panels!C90</f>
        <v>42.258139534883725</v>
      </c>
      <c r="D8" s="255">
        <f>Panels!D55</f>
        <v>72</v>
      </c>
      <c r="E8" s="44"/>
      <c r="F8" s="43">
        <f>IF(Design!$H$19="x",C8,0)</f>
        <v>0</v>
      </c>
      <c r="G8" s="45">
        <f>IF(Design!$H$19="x",D8,0)</f>
        <v>0</v>
      </c>
      <c r="T8" s="38"/>
      <c r="U8" s="56"/>
      <c r="V8" s="56"/>
      <c r="W8" s="56"/>
      <c r="X8" s="56"/>
      <c r="Y8" s="57"/>
      <c r="Z8" s="57"/>
      <c r="AA8" s="56"/>
      <c r="AB8" s="56"/>
    </row>
    <row r="9" spans="1:28" ht="12.75">
      <c r="A9" s="39"/>
      <c r="B9" s="38">
        <v>3</v>
      </c>
      <c r="C9" s="255">
        <f>C8</f>
        <v>42.258139534883725</v>
      </c>
      <c r="D9" s="255">
        <f>Panels!D56</f>
        <v>0</v>
      </c>
      <c r="E9" s="50"/>
      <c r="F9" s="49">
        <f>IF(Design!$H$19="x",C9,0)</f>
        <v>0</v>
      </c>
      <c r="G9" s="51">
        <f>IF(Design!$H$19="x",D9,0)</f>
        <v>0</v>
      </c>
      <c r="T9" s="38"/>
      <c r="U9" s="56"/>
      <c r="V9" s="56"/>
      <c r="W9" s="56"/>
      <c r="X9" s="56"/>
      <c r="Y9" s="57"/>
      <c r="Z9" s="57"/>
      <c r="AA9" s="56"/>
      <c r="AB9" s="56"/>
    </row>
    <row r="10" spans="1:28" ht="12.75">
      <c r="A10" s="39"/>
      <c r="B10" s="38"/>
      <c r="C10" s="256"/>
      <c r="D10" s="256"/>
      <c r="E10" s="59"/>
      <c r="F10" s="54"/>
      <c r="G10" s="55"/>
      <c r="T10" s="46"/>
      <c r="U10" s="46"/>
      <c r="V10" s="46"/>
      <c r="W10" s="46"/>
      <c r="X10" s="46"/>
      <c r="Y10" s="46"/>
      <c r="Z10" s="46"/>
      <c r="AA10" s="46"/>
      <c r="AB10" s="46"/>
    </row>
    <row r="11" spans="2:28" ht="12.75">
      <c r="B11" s="38"/>
      <c r="C11" s="255">
        <f>Panels!C85</f>
        <v>61.37906976744188</v>
      </c>
      <c r="D11" s="255">
        <f>D8</f>
        <v>72</v>
      </c>
      <c r="E11" s="44"/>
      <c r="F11" s="43">
        <f>IF(Design!$H$19="x",C11,0)</f>
        <v>0</v>
      </c>
      <c r="G11" s="45">
        <f>IF(Design!$H$19="x",D11,0)</f>
        <v>0</v>
      </c>
      <c r="T11" s="38"/>
      <c r="U11" s="56"/>
      <c r="V11" s="56"/>
      <c r="W11" s="56"/>
      <c r="X11" s="56"/>
      <c r="Y11" s="57"/>
      <c r="Z11" s="57"/>
      <c r="AA11" s="46"/>
      <c r="AB11" s="46"/>
    </row>
    <row r="12" spans="2:28" ht="12.75">
      <c r="B12" s="38">
        <v>4</v>
      </c>
      <c r="C12" s="255">
        <f>C11</f>
        <v>61.37906976744188</v>
      </c>
      <c r="D12" s="255">
        <f>D3</f>
        <v>0</v>
      </c>
      <c r="E12" s="50"/>
      <c r="F12" s="49">
        <f>IF(Design!$H$19="x",C12,0)</f>
        <v>0</v>
      </c>
      <c r="G12" s="51">
        <f>IF(Design!$H$19="x",D12,0)</f>
        <v>0</v>
      </c>
      <c r="T12" s="38"/>
      <c r="U12" s="56"/>
      <c r="V12" s="56"/>
      <c r="W12" s="56"/>
      <c r="X12" s="56"/>
      <c r="Y12" s="57"/>
      <c r="Z12" s="57"/>
      <c r="AA12" s="56"/>
      <c r="AB12" s="56"/>
    </row>
    <row r="13" spans="2:28" ht="12.75">
      <c r="B13" s="38"/>
      <c r="C13" s="257"/>
      <c r="D13" s="257"/>
      <c r="E13" s="59"/>
      <c r="F13" s="54"/>
      <c r="G13" s="55"/>
      <c r="T13" s="46"/>
      <c r="U13" s="46"/>
      <c r="V13" s="46"/>
      <c r="W13" s="46"/>
      <c r="X13" s="46"/>
      <c r="Y13" s="46"/>
      <c r="Z13" s="46"/>
      <c r="AA13" s="46"/>
      <c r="AB13" s="46"/>
    </row>
    <row r="14" spans="2:28" ht="12.75">
      <c r="B14" s="38"/>
      <c r="C14" s="255"/>
      <c r="D14" s="255"/>
      <c r="E14" s="44"/>
      <c r="F14" s="43"/>
      <c r="G14" s="45"/>
      <c r="T14" s="38"/>
      <c r="U14" s="56"/>
      <c r="V14" s="56"/>
      <c r="W14" s="56"/>
      <c r="X14" s="56"/>
      <c r="Y14" s="56"/>
      <c r="Z14" s="56"/>
      <c r="AA14" s="46"/>
      <c r="AB14" s="46"/>
    </row>
    <row r="15" spans="2:28" ht="12.75">
      <c r="B15" s="38">
        <v>5</v>
      </c>
      <c r="C15" s="255"/>
      <c r="D15" s="255"/>
      <c r="E15" s="50"/>
      <c r="F15" s="49"/>
      <c r="G15" s="51"/>
      <c r="T15" s="38"/>
      <c r="U15" s="56"/>
      <c r="V15" s="56"/>
      <c r="W15" s="56"/>
      <c r="X15" s="56"/>
      <c r="Y15" s="57"/>
      <c r="Z15" s="57"/>
      <c r="AA15" s="56"/>
      <c r="AB15" s="56"/>
    </row>
    <row r="16" spans="2:28" ht="12.75">
      <c r="B16" s="38"/>
      <c r="C16" s="257"/>
      <c r="D16" s="257"/>
      <c r="E16" s="60"/>
      <c r="F16" s="54"/>
      <c r="G16" s="55"/>
      <c r="T16" s="46"/>
      <c r="U16" s="46"/>
      <c r="V16" s="46"/>
      <c r="W16" s="46"/>
      <c r="X16" s="46"/>
      <c r="Y16" s="46"/>
      <c r="Z16" s="46"/>
      <c r="AA16" s="56"/>
      <c r="AB16" s="56"/>
    </row>
    <row r="17" spans="2:28" ht="12.75">
      <c r="B17" s="38"/>
      <c r="C17" s="255"/>
      <c r="D17" s="255"/>
      <c r="E17" s="44"/>
      <c r="F17" s="43"/>
      <c r="G17" s="45"/>
      <c r="T17" s="38"/>
      <c r="U17" s="56"/>
      <c r="V17" s="56"/>
      <c r="W17" s="56"/>
      <c r="X17" s="56"/>
      <c r="Y17" s="57"/>
      <c r="Z17" s="57"/>
      <c r="AA17" s="46"/>
      <c r="AB17" s="46"/>
    </row>
    <row r="18" spans="2:28" ht="12.75">
      <c r="B18" s="38">
        <v>6</v>
      </c>
      <c r="C18" s="255"/>
      <c r="D18" s="255"/>
      <c r="E18" s="50"/>
      <c r="F18" s="49"/>
      <c r="G18" s="51"/>
      <c r="T18" s="38"/>
      <c r="U18" s="56"/>
      <c r="V18" s="56"/>
      <c r="W18" s="56"/>
      <c r="X18" s="56"/>
      <c r="Y18" s="57"/>
      <c r="Z18" s="57"/>
      <c r="AA18" s="56"/>
      <c r="AB18" s="56"/>
    </row>
    <row r="19" spans="2:28" ht="12.75">
      <c r="B19" s="38"/>
      <c r="C19" s="257"/>
      <c r="D19" s="257"/>
      <c r="E19" s="60"/>
      <c r="F19" s="54"/>
      <c r="G19" s="55"/>
      <c r="T19" s="46"/>
      <c r="U19" s="46"/>
      <c r="V19" s="46"/>
      <c r="W19" s="46"/>
      <c r="X19" s="46"/>
      <c r="Y19" s="46"/>
      <c r="Z19" s="46"/>
      <c r="AA19" s="46"/>
      <c r="AB19" s="46"/>
    </row>
    <row r="20" spans="2:28" ht="12.75">
      <c r="B20" s="38"/>
      <c r="C20" s="255"/>
      <c r="D20" s="255"/>
      <c r="E20" s="44"/>
      <c r="F20" s="43"/>
      <c r="G20" s="45"/>
      <c r="T20" s="38"/>
      <c r="U20" s="56"/>
      <c r="V20" s="56"/>
      <c r="W20" s="56"/>
      <c r="X20" s="56"/>
      <c r="Y20" s="57"/>
      <c r="Z20" s="57"/>
      <c r="AA20" s="46"/>
      <c r="AB20" s="46"/>
    </row>
    <row r="21" spans="2:28" ht="12.75">
      <c r="B21" s="38">
        <v>7</v>
      </c>
      <c r="C21" s="255"/>
      <c r="D21" s="255"/>
      <c r="E21" s="50"/>
      <c r="F21" s="49"/>
      <c r="G21" s="51"/>
      <c r="T21" s="38"/>
      <c r="U21" s="56"/>
      <c r="V21" s="56"/>
      <c r="W21" s="56"/>
      <c r="X21" s="56"/>
      <c r="Y21" s="57"/>
      <c r="Z21" s="57"/>
      <c r="AA21" s="56"/>
      <c r="AB21" s="56"/>
    </row>
    <row r="22" spans="2:7" ht="12.75">
      <c r="B22" s="38"/>
      <c r="C22" s="257"/>
      <c r="D22" s="257"/>
      <c r="E22" s="60"/>
      <c r="F22" s="54"/>
      <c r="G22" s="55"/>
    </row>
    <row r="23" spans="2:7" ht="12.75">
      <c r="B23" s="38"/>
      <c r="C23" s="255"/>
      <c r="D23" s="255"/>
      <c r="E23" s="44"/>
      <c r="F23" s="43"/>
      <c r="G23" s="45"/>
    </row>
    <row r="24" spans="2:7" ht="12.75">
      <c r="B24" s="38">
        <v>8</v>
      </c>
      <c r="C24" s="255"/>
      <c r="D24" s="255"/>
      <c r="E24" s="50"/>
      <c r="F24" s="49"/>
      <c r="G24" s="51"/>
    </row>
    <row r="25" spans="2:7" ht="12.75">
      <c r="B25" s="38"/>
      <c r="C25" s="257"/>
      <c r="D25" s="257"/>
      <c r="E25" s="60"/>
      <c r="F25" s="54"/>
      <c r="G25" s="55"/>
    </row>
    <row r="26" spans="2:7" ht="12.75">
      <c r="B26" s="38"/>
      <c r="C26" s="255"/>
      <c r="D26" s="255"/>
      <c r="E26" s="44"/>
      <c r="F26" s="43"/>
      <c r="G26" s="45"/>
    </row>
    <row r="27" spans="2:7" ht="12.75">
      <c r="B27" s="38">
        <v>9</v>
      </c>
      <c r="C27" s="255"/>
      <c r="D27" s="255"/>
      <c r="E27" s="50"/>
      <c r="F27" s="49"/>
      <c r="G27" s="51"/>
    </row>
    <row r="28" spans="2:7" ht="12.75">
      <c r="B28" s="38"/>
      <c r="C28" s="257"/>
      <c r="D28" s="257"/>
      <c r="E28" s="60"/>
      <c r="F28" s="54"/>
      <c r="G28" s="55"/>
    </row>
    <row r="29" ht="12.75"/>
    <row r="30" ht="12.75"/>
    <row r="31" spans="2:4" ht="12.75">
      <c r="B31" s="39"/>
      <c r="C31" s="40"/>
      <c r="D31" s="40"/>
    </row>
    <row r="32" spans="2:4" ht="12.75">
      <c r="B32" s="39"/>
      <c r="C32" s="42"/>
      <c r="D32" s="45"/>
    </row>
    <row r="33" spans="2:4" ht="12.75">
      <c r="B33" s="47"/>
      <c r="C33" s="48"/>
      <c r="D33" s="51"/>
    </row>
    <row r="34" spans="2:4" ht="12.75">
      <c r="B34" s="38"/>
      <c r="C34" s="52"/>
      <c r="D34" s="61"/>
    </row>
    <row r="35" spans="2:4" ht="12.75">
      <c r="B35" s="39"/>
      <c r="C35" s="42"/>
      <c r="D35" s="45"/>
    </row>
    <row r="36" spans="2:4" ht="12.75">
      <c r="B36" s="38"/>
      <c r="C36" s="48"/>
      <c r="D36" s="51"/>
    </row>
    <row r="37" spans="2:4" ht="12.75">
      <c r="B37" s="39"/>
      <c r="C37" s="52"/>
      <c r="D37" s="61"/>
    </row>
    <row r="38" spans="2:4" ht="12.75">
      <c r="B38" s="38"/>
      <c r="C38" s="42"/>
      <c r="D38" s="45"/>
    </row>
    <row r="39" spans="2:4" ht="12.75">
      <c r="B39" s="38"/>
      <c r="C39" s="48"/>
      <c r="D39" s="51"/>
    </row>
    <row r="40" spans="2:4" ht="12.75">
      <c r="B40" s="38"/>
      <c r="C40" s="52"/>
      <c r="D40" s="61"/>
    </row>
    <row r="41" spans="2:4" ht="12.75">
      <c r="B41" s="38"/>
      <c r="C41" s="42"/>
      <c r="D41" s="45"/>
    </row>
    <row r="42" spans="2:4" ht="12.75">
      <c r="B42" s="38"/>
      <c r="C42" s="48"/>
      <c r="D42" s="51"/>
    </row>
    <row r="43" spans="2:4" ht="12.75">
      <c r="B43" s="38"/>
      <c r="C43" s="52"/>
      <c r="D43" s="61"/>
    </row>
    <row r="44" spans="2:4" ht="12.75">
      <c r="B44" s="38"/>
      <c r="C44" s="42"/>
      <c r="D44" s="45"/>
    </row>
    <row r="45" spans="2:4" ht="12.75">
      <c r="B45" s="38"/>
      <c r="C45" s="48"/>
      <c r="D45" s="51"/>
    </row>
    <row r="46" spans="2:4" ht="12.75">
      <c r="B46" s="38"/>
      <c r="C46" s="58"/>
      <c r="D46" s="62"/>
    </row>
  </sheetData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B&amp;G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Steele</dc:creator>
  <cp:keywords/>
  <dc:description/>
  <cp:lastModifiedBy>Brian Steele</cp:lastModifiedBy>
  <cp:lastPrinted>2013-11-17T17:14:13Z</cp:lastPrinted>
  <dcterms:created xsi:type="dcterms:W3CDTF">2010-07-12T00:49:36Z</dcterms:created>
  <dcterms:modified xsi:type="dcterms:W3CDTF">2022-05-23T01:29:47Z</dcterms:modified>
  <cp:category/>
  <cp:version/>
  <cp:contentType/>
  <cp:contentStatus/>
</cp:coreProperties>
</file>