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 codeName="{99F03F65-6EE5-B2FF-AC1D-F4DDD12603F5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Users\Brian.Steele\OneDrive\diyaudio\boxplan\beta\"/>
    </mc:Choice>
  </mc:AlternateContent>
  <xr:revisionPtr revIDLastSave="1457" documentId="11_9A74F5E01710B1080FD8AFBC6A1D8F1A6AC48E87" xr6:coauthVersionLast="43" xr6:coauthVersionMax="43" xr10:uidLastSave="{68E8EBA6-1ECF-4652-ACD5-1ADF53019788}"/>
  <bookViews>
    <workbookView xWindow="-15" yWindow="45" windowWidth="24090" windowHeight="21090" xr2:uid="{00000000-000D-0000-FFFF-FFFF00000000}"/>
  </bookViews>
  <sheets>
    <sheet name="Design" sheetId="6" r:id="rId1"/>
    <sheet name="Panels" sheetId="7" r:id="rId2"/>
    <sheet name="Path" sheetId="8" r:id="rId3"/>
    <sheet name="Guides" sheetId="9" r:id="rId4"/>
    <sheet name="Layout" sheetId="10" r:id="rId5"/>
    <sheet name="Instructions" sheetId="11" r:id="rId6"/>
    <sheet name="Bracing" sheetId="12" r:id="rId7"/>
  </sheets>
  <definedNames>
    <definedName name="_L1_">Path!$I$10</definedName>
    <definedName name="_L2_">Path!$I$11</definedName>
    <definedName name="_L3_">Path!$I$12</definedName>
    <definedName name="_L4_">Path!$I$13</definedName>
    <definedName name="_L5_">Path!$I$14</definedName>
    <definedName name="_S1_">Path!$H$10</definedName>
    <definedName name="_S2_">Path!$H$11</definedName>
    <definedName name="_S3_">Path!$H$12</definedName>
    <definedName name="_S4_">Path!$H$13</definedName>
    <definedName name="_S5_">Path!$H$14</definedName>
    <definedName name="Amin">#REF!</definedName>
    <definedName name="Angle1">Design!$D$45</definedName>
    <definedName name="Angle1_err">Design!$H$45</definedName>
    <definedName name="Angle2">Design!$D$46</definedName>
    <definedName name="Angle2_err">Design!$H$46</definedName>
    <definedName name="Ax">#REF!</definedName>
    <definedName name="Bx">#REF!</definedName>
    <definedName name="C_1x">#REF!</definedName>
    <definedName name="Cx">#REF!</definedName>
    <definedName name="D">#REF!</definedName>
    <definedName name="Delta">#REF!</definedName>
    <definedName name="dX">#REF!</definedName>
    <definedName name="dY">#REF!</definedName>
    <definedName name="FileName">Design!$D$74</definedName>
    <definedName name="H">#REF!</definedName>
    <definedName name="HornrespExp">Design!$D$76</definedName>
    <definedName name="p">#REF!</definedName>
    <definedName name="PanelB">Design!$F$50</definedName>
    <definedName name="PanelB_err">Design!$H$50</definedName>
    <definedName name="PanelE">Design!$F$53</definedName>
    <definedName name="PanelE_err">Design!$H$53</definedName>
    <definedName name="PanelF">Design!$F$54</definedName>
    <definedName name="PanelF_err">Design!$H$54</definedName>
    <definedName name="PanelG">Design!$F$55</definedName>
    <definedName name="PanelG_err">Design!$H$55</definedName>
    <definedName name="PanelGh">Design!$F$56</definedName>
    <definedName name="PanelGh_err">Design!$H$56</definedName>
    <definedName name="PanelH">Design!$F$57</definedName>
    <definedName name="PanelH_err">Design!$H$57</definedName>
    <definedName name="PanelI">Design!$F$58</definedName>
    <definedName name="PanelI_err">Design!$H$58</definedName>
    <definedName name="PanelIh">Design!#REF!</definedName>
    <definedName name="PanelIh_err">Design!#REF!</definedName>
    <definedName name="PanelJ">Design!$F$59</definedName>
    <definedName name="PanelJ_err">Design!$H$59</definedName>
    <definedName name="PanelJh">Design!$F$60</definedName>
    <definedName name="PanelJh_err">Design!$H$60</definedName>
    <definedName name="PanelK">Design!$F$61</definedName>
    <definedName name="PanelK_err">Design!$H$61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6" l="1"/>
  <c r="D12" i="6"/>
  <c r="D11" i="6"/>
  <c r="D15" i="12"/>
  <c r="B61" i="6" l="1"/>
  <c r="B59" i="6" l="1"/>
  <c r="D31" i="6" l="1"/>
  <c r="B161" i="8"/>
  <c r="B158" i="8" s="1"/>
  <c r="B155" i="8" s="1"/>
  <c r="B152" i="8" s="1"/>
  <c r="B149" i="8" s="1"/>
  <c r="B146" i="8" s="1"/>
  <c r="B143" i="8" s="1"/>
  <c r="B140" i="8" s="1"/>
  <c r="B137" i="8" s="1"/>
  <c r="B134" i="8" s="1"/>
  <c r="B131" i="8" s="1"/>
  <c r="B128" i="8" s="1"/>
  <c r="B125" i="8" s="1"/>
  <c r="B122" i="8" s="1"/>
  <c r="B119" i="8" s="1"/>
  <c r="B116" i="8" s="1"/>
  <c r="B113" i="8" l="1"/>
  <c r="B110" i="8" s="1"/>
  <c r="B92" i="8"/>
  <c r="B89" i="8" s="1"/>
  <c r="H4" i="8"/>
  <c r="M4" i="8" s="1"/>
  <c r="H3" i="8"/>
  <c r="M3" i="8" s="1"/>
  <c r="Q3" i="8" s="1"/>
  <c r="B87" i="6"/>
  <c r="H16" i="8"/>
  <c r="D109" i="6"/>
  <c r="B107" i="8" l="1"/>
  <c r="B104" i="8" s="1"/>
  <c r="B86" i="8"/>
  <c r="B83" i="8" s="1"/>
  <c r="I3" i="8"/>
  <c r="J3" i="8"/>
  <c r="L3" i="8"/>
  <c r="O4" i="8"/>
  <c r="N4" i="8"/>
  <c r="P4" i="8" s="1"/>
  <c r="Q4" i="8"/>
  <c r="I4" i="8"/>
  <c r="K4" i="8" s="1"/>
  <c r="J4" i="8"/>
  <c r="H7" i="8"/>
  <c r="H5" i="8"/>
  <c r="N3" i="8"/>
  <c r="L4" i="8"/>
  <c r="H6" i="8"/>
  <c r="O3" i="8"/>
  <c r="D34" i="6"/>
  <c r="F34" i="6" s="1"/>
  <c r="B101" i="8" l="1"/>
  <c r="B98" i="8" s="1"/>
  <c r="B80" i="8"/>
  <c r="B77" i="8" s="1"/>
  <c r="P3" i="8"/>
  <c r="K3" i="8"/>
  <c r="Q7" i="8"/>
  <c r="I7" i="8"/>
  <c r="K7" i="8" s="1"/>
  <c r="O7" i="8"/>
  <c r="N7" i="8"/>
  <c r="P7" i="8" s="1"/>
  <c r="L7" i="8"/>
  <c r="J7" i="8"/>
  <c r="M7" i="8"/>
  <c r="M5" i="8"/>
  <c r="J5" i="8"/>
  <c r="L5" i="8"/>
  <c r="I5" i="8"/>
  <c r="K5" i="8" s="1"/>
  <c r="I6" i="8"/>
  <c r="K6" i="8" s="1"/>
  <c r="J6" i="8"/>
  <c r="M6" i="8"/>
  <c r="L6" i="8"/>
  <c r="B5" i="11"/>
  <c r="B6" i="11" s="1"/>
  <c r="B7" i="11" s="1"/>
  <c r="B8" i="11" s="1"/>
  <c r="B9" i="11" s="1"/>
  <c r="B10" i="11" s="1"/>
  <c r="B11" i="11" s="1"/>
  <c r="B12" i="11" s="1"/>
  <c r="J109" i="6"/>
  <c r="D94" i="6"/>
  <c r="J94" i="6" s="1"/>
  <c r="D81" i="6"/>
  <c r="J81" i="6" s="1"/>
  <c r="J113" i="6"/>
  <c r="J112" i="6"/>
  <c r="J111" i="6"/>
  <c r="D110" i="6"/>
  <c r="J110" i="6" s="1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2" i="6"/>
  <c r="J88" i="6"/>
  <c r="J84" i="6"/>
  <c r="J80" i="6"/>
  <c r="J79" i="6"/>
  <c r="J78" i="6"/>
  <c r="J77" i="6"/>
  <c r="J76" i="6"/>
  <c r="B95" i="8" l="1"/>
  <c r="B68" i="8" s="1"/>
  <c r="B65" i="8" s="1"/>
  <c r="B62" i="8" s="1"/>
  <c r="B59" i="8" s="1"/>
  <c r="B56" i="8" s="1"/>
  <c r="B53" i="8" s="1"/>
  <c r="B50" i="8" s="1"/>
  <c r="B47" i="8" s="1"/>
  <c r="B44" i="8" s="1"/>
  <c r="B41" i="8" s="1"/>
  <c r="B38" i="8" s="1"/>
  <c r="B35" i="8" s="1"/>
  <c r="B32" i="8" s="1"/>
  <c r="B29" i="8" s="1"/>
  <c r="B26" i="8" s="1"/>
  <c r="B23" i="8" s="1"/>
  <c r="B20" i="8" s="1"/>
  <c r="B74" i="8"/>
  <c r="B71" i="8" s="1"/>
  <c r="Q6" i="8"/>
  <c r="N6" i="8"/>
  <c r="P6" i="8" s="1"/>
  <c r="O6" i="8"/>
  <c r="O5" i="8"/>
  <c r="N5" i="8"/>
  <c r="P5" i="8" s="1"/>
  <c r="Q5" i="8"/>
  <c r="B55" i="6"/>
  <c r="AH22" i="8" l="1"/>
  <c r="AH23" i="8" s="1"/>
  <c r="J10" i="8" l="1"/>
  <c r="J11" i="8" s="1"/>
  <c r="J12" i="8" s="1"/>
  <c r="J13" i="8" l="1"/>
  <c r="J14" i="8" s="1"/>
  <c r="G20" i="7" l="1"/>
  <c r="F19" i="7"/>
  <c r="F6" i="6"/>
  <c r="R5" i="7" l="1"/>
  <c r="T5" i="7" l="1"/>
  <c r="V5" i="7"/>
  <c r="W5" i="7"/>
  <c r="S5" i="7"/>
  <c r="U5" i="7" s="1"/>
  <c r="R6" i="7"/>
  <c r="R9" i="7" s="1"/>
  <c r="T9" i="7" l="1"/>
  <c r="AA9" i="7"/>
  <c r="X9" i="7"/>
  <c r="Z9" i="7" s="1"/>
  <c r="S9" i="7"/>
  <c r="U9" i="7" s="1"/>
  <c r="Y9" i="7"/>
  <c r="V9" i="7"/>
  <c r="W9" i="7"/>
  <c r="R7" i="7"/>
  <c r="W6" i="7"/>
  <c r="V6" i="7"/>
  <c r="T6" i="7"/>
  <c r="S6" i="7"/>
  <c r="U6" i="7" s="1"/>
  <c r="R8" i="7"/>
  <c r="W8" i="7" s="1"/>
  <c r="X8" i="7" s="1"/>
  <c r="Z8" i="7" s="1"/>
  <c r="X5" i="7"/>
  <c r="Z5" i="7" s="1"/>
  <c r="AA5" i="7"/>
  <c r="Y5" i="7"/>
  <c r="D30" i="6"/>
  <c r="F29" i="9"/>
  <c r="D29" i="9"/>
  <c r="G29" i="9"/>
  <c r="C29" i="9"/>
  <c r="F27" i="9"/>
  <c r="G26" i="9"/>
  <c r="D18" i="7"/>
  <c r="C18" i="7"/>
  <c r="A12" i="7"/>
  <c r="A6" i="7"/>
  <c r="B58" i="6"/>
  <c r="B57" i="6"/>
  <c r="B54" i="6"/>
  <c r="B53" i="6"/>
  <c r="B52" i="6"/>
  <c r="E49" i="6"/>
  <c r="F18" i="6"/>
  <c r="B51" i="6"/>
  <c r="B50" i="6"/>
  <c r="B49" i="6"/>
  <c r="F23" i="9"/>
  <c r="C23" i="9"/>
  <c r="T5" i="12" s="1"/>
  <c r="C23" i="8"/>
  <c r="C26" i="8" s="1"/>
  <c r="C29" i="8" s="1"/>
  <c r="C32" i="8" s="1"/>
  <c r="O22" i="8"/>
  <c r="O23" i="8" s="1"/>
  <c r="F17" i="6"/>
  <c r="F8" i="6"/>
  <c r="F7" i="6"/>
  <c r="F5" i="6"/>
  <c r="F4" i="6"/>
  <c r="F13" i="6"/>
  <c r="F11" i="6"/>
  <c r="R101" i="7"/>
  <c r="R100" i="7"/>
  <c r="R98" i="7"/>
  <c r="R97" i="7"/>
  <c r="R96" i="7"/>
  <c r="R95" i="7"/>
  <c r="R94" i="7"/>
  <c r="R93" i="7"/>
  <c r="R91" i="7"/>
  <c r="R90" i="7"/>
  <c r="R89" i="7"/>
  <c r="R88" i="7"/>
  <c r="R87" i="7"/>
  <c r="R86" i="7"/>
  <c r="C27" i="9"/>
  <c r="F30" i="9"/>
  <c r="D44" i="6"/>
  <c r="F44" i="6" s="1"/>
  <c r="F12" i="6"/>
  <c r="F12" i="9"/>
  <c r="G6" i="9"/>
  <c r="G17" i="9"/>
  <c r="G11" i="9"/>
  <c r="G27" i="9"/>
  <c r="G12" i="9"/>
  <c r="F18" i="9"/>
  <c r="F21" i="9"/>
  <c r="C20" i="7"/>
  <c r="C12" i="7"/>
  <c r="V5" i="9"/>
  <c r="V9" i="9" s="1"/>
  <c r="V13" i="9" s="1"/>
  <c r="D11" i="9"/>
  <c r="D17" i="9"/>
  <c r="D7" i="7"/>
  <c r="G7" i="7" s="1"/>
  <c r="D24" i="7"/>
  <c r="D6" i="9"/>
  <c r="D21" i="7"/>
  <c r="G21" i="7" s="1"/>
  <c r="D26" i="9"/>
  <c r="W7" i="9"/>
  <c r="W11" i="9" s="1"/>
  <c r="W15" i="9" s="1"/>
  <c r="G24" i="9"/>
  <c r="F15" i="9"/>
  <c r="F24" i="9"/>
  <c r="F5" i="9"/>
  <c r="F17" i="9"/>
  <c r="F26" i="9"/>
  <c r="F11" i="9"/>
  <c r="F20" i="9"/>
  <c r="G18" i="9"/>
  <c r="G30" i="9"/>
  <c r="G23" i="9"/>
  <c r="F14" i="9"/>
  <c r="G5" i="9"/>
  <c r="T83" i="7"/>
  <c r="S83" i="7"/>
  <c r="D66" i="7" l="1"/>
  <c r="G66" i="7" s="1"/>
  <c r="E65" i="8"/>
  <c r="E61" i="6"/>
  <c r="J61" i="6" s="1"/>
  <c r="E59" i="6"/>
  <c r="J59" i="6" s="1"/>
  <c r="D69" i="7"/>
  <c r="G69" i="7" s="1"/>
  <c r="D67" i="7"/>
  <c r="G67" i="7" s="1"/>
  <c r="D70" i="7"/>
  <c r="G70" i="7" s="1"/>
  <c r="E57" i="6"/>
  <c r="J57" i="6" s="1"/>
  <c r="T114" i="7"/>
  <c r="C16" i="7"/>
  <c r="F16" i="7" s="1"/>
  <c r="F12" i="7"/>
  <c r="I20" i="7"/>
  <c r="F20" i="7"/>
  <c r="D25" i="7"/>
  <c r="G25" i="7" s="1"/>
  <c r="G24" i="7"/>
  <c r="C22" i="7"/>
  <c r="F22" i="7" s="1"/>
  <c r="F18" i="7"/>
  <c r="D19" i="7"/>
  <c r="G19" i="7" s="1"/>
  <c r="G18" i="7"/>
  <c r="Y7" i="9"/>
  <c r="Y11" i="9" s="1"/>
  <c r="Y15" i="9" s="1"/>
  <c r="C13" i="7"/>
  <c r="D13" i="7"/>
  <c r="G13" i="7" s="1"/>
  <c r="C21" i="7"/>
  <c r="I19" i="7"/>
  <c r="D5" i="12"/>
  <c r="G5" i="12" s="1"/>
  <c r="AA8" i="7"/>
  <c r="D8" i="7"/>
  <c r="C17" i="9"/>
  <c r="S8" i="7"/>
  <c r="U8" i="7" s="1"/>
  <c r="Y8" i="7"/>
  <c r="V8" i="7"/>
  <c r="AA6" i="7"/>
  <c r="Y6" i="7"/>
  <c r="X6" i="7"/>
  <c r="Z6" i="7" s="1"/>
  <c r="X5" i="9"/>
  <c r="X9" i="9" s="1"/>
  <c r="X13" i="9" s="1"/>
  <c r="T8" i="7"/>
  <c r="E55" i="6"/>
  <c r="J55" i="6" s="1"/>
  <c r="E50" i="6"/>
  <c r="C6" i="7"/>
  <c r="F6" i="7" s="1"/>
  <c r="D28" i="7"/>
  <c r="G28" i="7" s="1"/>
  <c r="D18" i="9"/>
  <c r="J21" i="7"/>
  <c r="C14" i="9"/>
  <c r="T7" i="12" s="1"/>
  <c r="V7" i="9"/>
  <c r="V11" i="9" s="1"/>
  <c r="V15" i="9" s="1"/>
  <c r="D30" i="9"/>
  <c r="C26" i="9"/>
  <c r="C20" i="9"/>
  <c r="E58" i="6"/>
  <c r="J58" i="6" s="1"/>
  <c r="Y5" i="9"/>
  <c r="Y9" i="9" s="1"/>
  <c r="Y13" i="9" s="1"/>
  <c r="D22" i="7"/>
  <c r="G22" i="7" s="1"/>
  <c r="D30" i="7"/>
  <c r="G30" i="7" s="1"/>
  <c r="D6" i="7"/>
  <c r="G6" i="7" s="1"/>
  <c r="J67" i="7" l="1"/>
  <c r="D68" i="7"/>
  <c r="G68" i="7" s="1"/>
  <c r="J70" i="7"/>
  <c r="C6" i="11"/>
  <c r="D39" i="6"/>
  <c r="C35" i="8"/>
  <c r="C38" i="8" s="1"/>
  <c r="C41" i="8" s="1"/>
  <c r="C44" i="8" s="1"/>
  <c r="C47" i="8" s="1"/>
  <c r="C50" i="8" s="1"/>
  <c r="C53" i="8" s="1"/>
  <c r="C56" i="8" s="1"/>
  <c r="C59" i="8" s="1"/>
  <c r="C62" i="8" s="1"/>
  <c r="C65" i="8" s="1"/>
  <c r="C68" i="8" s="1"/>
  <c r="E133" i="8"/>
  <c r="H133" i="8" s="1"/>
  <c r="D26" i="7"/>
  <c r="J26" i="7" s="1"/>
  <c r="D4" i="12"/>
  <c r="G4" i="12" s="1"/>
  <c r="J25" i="7"/>
  <c r="C14" i="7"/>
  <c r="C66" i="7" s="1"/>
  <c r="F13" i="7"/>
  <c r="J8" i="7"/>
  <c r="G8" i="7"/>
  <c r="I22" i="7"/>
  <c r="D27" i="9"/>
  <c r="C30" i="9"/>
  <c r="F21" i="7"/>
  <c r="J19" i="7"/>
  <c r="K19" i="7" s="1"/>
  <c r="E51" i="6" s="1"/>
  <c r="J20" i="7"/>
  <c r="K20" i="7" s="1"/>
  <c r="F51" i="6" s="1"/>
  <c r="D12" i="9"/>
  <c r="W5" i="9"/>
  <c r="AA5" i="9" s="1"/>
  <c r="I13" i="7"/>
  <c r="I21" i="7"/>
  <c r="K21" i="7" s="1"/>
  <c r="D14" i="7"/>
  <c r="AN164" i="8" s="1"/>
  <c r="C18" i="9"/>
  <c r="C21" i="9"/>
  <c r="C24" i="9"/>
  <c r="V5" i="12" s="1"/>
  <c r="C15" i="9"/>
  <c r="V7" i="12" s="1"/>
  <c r="X7" i="9"/>
  <c r="AA7" i="9" s="1"/>
  <c r="V7" i="7"/>
  <c r="T7" i="7"/>
  <c r="S7" i="7"/>
  <c r="U7" i="7" s="1"/>
  <c r="W7" i="7"/>
  <c r="J50" i="6"/>
  <c r="E53" i="6"/>
  <c r="E52" i="6"/>
  <c r="E54" i="6"/>
  <c r="J54" i="6" s="1"/>
  <c r="C10" i="7"/>
  <c r="F10" i="7" s="1"/>
  <c r="C30" i="7"/>
  <c r="F30" i="7" s="1"/>
  <c r="C7" i="7"/>
  <c r="J22" i="7"/>
  <c r="J7" i="7"/>
  <c r="D10" i="7"/>
  <c r="G10" i="7" s="1"/>
  <c r="D9" i="7"/>
  <c r="G9" i="7" s="1"/>
  <c r="D12" i="7"/>
  <c r="G12" i="7" s="1"/>
  <c r="D31" i="7"/>
  <c r="G31" i="7" s="1"/>
  <c r="C71" i="8" l="1"/>
  <c r="C74" i="8" s="1"/>
  <c r="C77" i="8" s="1"/>
  <c r="C80" i="8" s="1"/>
  <c r="C83" i="8" s="1"/>
  <c r="C86" i="8" s="1"/>
  <c r="C89" i="8" s="1"/>
  <c r="C92" i="8" s="1"/>
  <c r="C95" i="8" s="1"/>
  <c r="C98" i="8" s="1"/>
  <c r="C101" i="8" s="1"/>
  <c r="C104" i="8" s="1"/>
  <c r="C107" i="8" s="1"/>
  <c r="C110" i="8" s="1"/>
  <c r="C113" i="8" s="1"/>
  <c r="C116" i="8" s="1"/>
  <c r="C119" i="8" s="1"/>
  <c r="C122" i="8" s="1"/>
  <c r="C125" i="8" s="1"/>
  <c r="C128" i="8" s="1"/>
  <c r="C131" i="8" s="1"/>
  <c r="C134" i="8" s="1"/>
  <c r="C137" i="8" s="1"/>
  <c r="C140" i="8" s="1"/>
  <c r="C143" i="8" s="1"/>
  <c r="C146" i="8" s="1"/>
  <c r="C149" i="8" s="1"/>
  <c r="C152" i="8" s="1"/>
  <c r="C155" i="8" s="1"/>
  <c r="C158" i="8" s="1"/>
  <c r="C161" i="8" s="1"/>
  <c r="C164" i="8" s="1"/>
  <c r="D121" i="8"/>
  <c r="D124" i="8" s="1"/>
  <c r="F66" i="7"/>
  <c r="J68" i="7"/>
  <c r="C67" i="7"/>
  <c r="F67" i="7" s="1"/>
  <c r="C70" i="7"/>
  <c r="D60" i="7"/>
  <c r="J69" i="7"/>
  <c r="G26" i="7"/>
  <c r="D27" i="7"/>
  <c r="G27" i="7" s="1"/>
  <c r="E137" i="8"/>
  <c r="E140" i="8" s="1"/>
  <c r="E143" i="8" s="1"/>
  <c r="AM164" i="8"/>
  <c r="J14" i="7"/>
  <c r="G14" i="7"/>
  <c r="K22" i="7"/>
  <c r="F14" i="7"/>
  <c r="C24" i="7"/>
  <c r="C15" i="7"/>
  <c r="I14" i="7"/>
  <c r="C4" i="11"/>
  <c r="W9" i="9"/>
  <c r="AA9" i="9" s="1"/>
  <c r="Z5" i="9"/>
  <c r="F7" i="7"/>
  <c r="Z7" i="9"/>
  <c r="J51" i="6"/>
  <c r="C8" i="7"/>
  <c r="X11" i="9"/>
  <c r="AA11" i="9" s="1"/>
  <c r="C25" i="7"/>
  <c r="C15" i="12" s="1"/>
  <c r="I7" i="7"/>
  <c r="K7" i="7" s="1"/>
  <c r="F49" i="6" s="1"/>
  <c r="C31" i="7"/>
  <c r="F31" i="7" s="1"/>
  <c r="AA7" i="7"/>
  <c r="X7" i="7"/>
  <c r="Z7" i="7" s="1"/>
  <c r="Y7" i="7"/>
  <c r="C33" i="7"/>
  <c r="F33" i="7" s="1"/>
  <c r="D34" i="7"/>
  <c r="G34" i="7" s="1"/>
  <c r="D32" i="7"/>
  <c r="AO64" i="8" s="1"/>
  <c r="D39" i="7"/>
  <c r="AP48" i="8" s="1"/>
  <c r="J31" i="7"/>
  <c r="J13" i="7"/>
  <c r="K13" i="7" s="1"/>
  <c r="D16" i="7"/>
  <c r="G16" i="7" s="1"/>
  <c r="D15" i="7"/>
  <c r="J10" i="7"/>
  <c r="J9" i="7"/>
  <c r="F70" i="7" l="1"/>
  <c r="C4" i="12"/>
  <c r="C3" i="12" s="1"/>
  <c r="J28" i="7"/>
  <c r="G121" i="8"/>
  <c r="I67" i="7"/>
  <c r="K67" i="7" s="1"/>
  <c r="G60" i="7"/>
  <c r="D64" i="7"/>
  <c r="G64" i="7" s="1"/>
  <c r="D3" i="12"/>
  <c r="G3" i="12" s="1"/>
  <c r="D61" i="7"/>
  <c r="C68" i="7"/>
  <c r="F68" i="7" s="1"/>
  <c r="L66" i="7"/>
  <c r="M66" i="7" s="1"/>
  <c r="J49" i="6"/>
  <c r="J27" i="7"/>
  <c r="H140" i="8"/>
  <c r="H137" i="8"/>
  <c r="AO164" i="8"/>
  <c r="AQ164" i="8" s="1"/>
  <c r="D160" i="8"/>
  <c r="AM161" i="8"/>
  <c r="AO161" i="8" s="1"/>
  <c r="G39" i="7"/>
  <c r="AP23" i="8"/>
  <c r="AN161" i="8"/>
  <c r="AP161" i="8" s="1"/>
  <c r="AP164" i="8"/>
  <c r="E160" i="8"/>
  <c r="F15" i="7"/>
  <c r="I15" i="7"/>
  <c r="AM58" i="8"/>
  <c r="AO58" i="8" s="1"/>
  <c r="I16" i="7"/>
  <c r="F24" i="7"/>
  <c r="C28" i="7"/>
  <c r="F28" i="7" s="1"/>
  <c r="C5" i="12"/>
  <c r="D146" i="8"/>
  <c r="C27" i="7"/>
  <c r="K14" i="7"/>
  <c r="Z9" i="9"/>
  <c r="W13" i="9"/>
  <c r="Z13" i="9" s="1"/>
  <c r="I8" i="7"/>
  <c r="K8" i="7" s="1"/>
  <c r="F8" i="7"/>
  <c r="I25" i="7"/>
  <c r="K25" i="7" s="1"/>
  <c r="F52" i="6" s="1"/>
  <c r="J52" i="6" s="1"/>
  <c r="F25" i="7"/>
  <c r="G32" i="7"/>
  <c r="AN58" i="8"/>
  <c r="AP58" i="8" s="1"/>
  <c r="G15" i="7"/>
  <c r="H143" i="8"/>
  <c r="C9" i="7"/>
  <c r="C26" i="7"/>
  <c r="X15" i="9"/>
  <c r="Z15" i="9" s="1"/>
  <c r="Z11" i="9"/>
  <c r="C32" i="7"/>
  <c r="C39" i="7"/>
  <c r="I31" i="7"/>
  <c r="K31" i="7" s="1"/>
  <c r="D53" i="8"/>
  <c r="D56" i="8" s="1"/>
  <c r="C34" i="7"/>
  <c r="F34" i="7" s="1"/>
  <c r="C16" i="12"/>
  <c r="F16" i="12" s="1"/>
  <c r="G124" i="8"/>
  <c r="D130" i="8"/>
  <c r="G130" i="8" s="1"/>
  <c r="J53" i="6"/>
  <c r="D11" i="12"/>
  <c r="E38" i="8"/>
  <c r="D33" i="7"/>
  <c r="G33" i="7" s="1"/>
  <c r="D36" i="7"/>
  <c r="D5" i="9"/>
  <c r="AP17" i="8"/>
  <c r="J15" i="7"/>
  <c r="J16" i="7"/>
  <c r="J32" i="7"/>
  <c r="F4" i="12" l="1"/>
  <c r="J61" i="7"/>
  <c r="U15" i="12"/>
  <c r="U19" i="12" s="1"/>
  <c r="I65" i="6"/>
  <c r="I68" i="7"/>
  <c r="K68" i="7" s="1"/>
  <c r="AN103" i="8"/>
  <c r="AP103" i="8" s="1"/>
  <c r="G61" i="7"/>
  <c r="D62" i="7"/>
  <c r="E104" i="8"/>
  <c r="AN113" i="8"/>
  <c r="AP113" i="8" s="1"/>
  <c r="C69" i="7"/>
  <c r="C60" i="7"/>
  <c r="L67" i="7"/>
  <c r="M67" i="7" s="1"/>
  <c r="AO48" i="8"/>
  <c r="AN64" i="8"/>
  <c r="K15" i="7"/>
  <c r="D17" i="12"/>
  <c r="G17" i="12" s="1"/>
  <c r="G11" i="12"/>
  <c r="C6" i="12"/>
  <c r="F6" i="12" s="1"/>
  <c r="F5" i="12"/>
  <c r="C9" i="11"/>
  <c r="K16" i="7"/>
  <c r="AS164" i="8"/>
  <c r="AR164" i="8"/>
  <c r="AQ58" i="8"/>
  <c r="AR58" i="8" s="1"/>
  <c r="AR161" i="8"/>
  <c r="AQ161" i="8"/>
  <c r="F39" i="7"/>
  <c r="AO23" i="8"/>
  <c r="G36" i="7"/>
  <c r="AP160" i="8"/>
  <c r="D149" i="8"/>
  <c r="G146" i="8"/>
  <c r="F27" i="7"/>
  <c r="I28" i="7"/>
  <c r="K28" i="7" s="1"/>
  <c r="AA13" i="9"/>
  <c r="I32" i="7"/>
  <c r="K32" i="7" s="1"/>
  <c r="F32" i="7"/>
  <c r="I26" i="7"/>
  <c r="K26" i="7" s="1"/>
  <c r="F26" i="7"/>
  <c r="I9" i="7"/>
  <c r="K9" i="7" s="1"/>
  <c r="F9" i="7"/>
  <c r="AA15" i="9"/>
  <c r="I27" i="7"/>
  <c r="K27" i="7" s="1"/>
  <c r="I10" i="7"/>
  <c r="K10" i="7" s="1"/>
  <c r="C5" i="9"/>
  <c r="AO17" i="8"/>
  <c r="C11" i="12"/>
  <c r="C36" i="7"/>
  <c r="I33" i="7"/>
  <c r="D127" i="8"/>
  <c r="G127" i="8" s="1"/>
  <c r="G53" i="8"/>
  <c r="I34" i="7"/>
  <c r="D59" i="8"/>
  <c r="G56" i="8"/>
  <c r="E41" i="8"/>
  <c r="H41" i="8" s="1"/>
  <c r="H38" i="8"/>
  <c r="J34" i="7"/>
  <c r="D16" i="12"/>
  <c r="G16" i="12" s="1"/>
  <c r="T81" i="7"/>
  <c r="D40" i="7"/>
  <c r="G40" i="7" s="1"/>
  <c r="U8" i="12"/>
  <c r="D37" i="7"/>
  <c r="D42" i="7" s="1"/>
  <c r="J33" i="7"/>
  <c r="C12" i="9" l="1"/>
  <c r="C11" i="9"/>
  <c r="E92" i="8"/>
  <c r="D23" i="9"/>
  <c r="W15" i="12"/>
  <c r="W19" i="12" s="1"/>
  <c r="F69" i="7"/>
  <c r="D77" i="8"/>
  <c r="G77" i="8" s="1"/>
  <c r="J62" i="7"/>
  <c r="E107" i="8"/>
  <c r="H104" i="8"/>
  <c r="L68" i="7"/>
  <c r="M68" i="7" s="1"/>
  <c r="I70" i="7"/>
  <c r="K70" i="7" s="1"/>
  <c r="L69" i="7"/>
  <c r="M69" i="7" s="1"/>
  <c r="I69" i="7"/>
  <c r="K69" i="7" s="1"/>
  <c r="U11" i="12"/>
  <c r="AN100" i="8"/>
  <c r="AP100" i="8" s="1"/>
  <c r="D63" i="7"/>
  <c r="AN52" i="8"/>
  <c r="AP52" i="8" s="1"/>
  <c r="G62" i="7"/>
  <c r="F60" i="7"/>
  <c r="C63" i="7"/>
  <c r="D79" i="8" s="1"/>
  <c r="F3" i="12"/>
  <c r="C61" i="7"/>
  <c r="T15" i="12" s="1"/>
  <c r="T19" i="12" s="1"/>
  <c r="C64" i="7"/>
  <c r="C17" i="12"/>
  <c r="F17" i="12" s="1"/>
  <c r="F11" i="12"/>
  <c r="G37" i="7"/>
  <c r="AN160" i="8"/>
  <c r="F36" i="7"/>
  <c r="AO160" i="8"/>
  <c r="D152" i="8"/>
  <c r="G149" i="8"/>
  <c r="J37" i="7"/>
  <c r="K33" i="7"/>
  <c r="C37" i="7"/>
  <c r="C40" i="7"/>
  <c r="S81" i="7"/>
  <c r="T8" i="12"/>
  <c r="E44" i="8"/>
  <c r="H44" i="8" s="1"/>
  <c r="K34" i="7"/>
  <c r="D62" i="8"/>
  <c r="G62" i="8" s="1"/>
  <c r="G59" i="8"/>
  <c r="E47" i="8"/>
  <c r="E50" i="8" s="1"/>
  <c r="H50" i="8" s="1"/>
  <c r="T80" i="7"/>
  <c r="W81" i="7" s="1"/>
  <c r="AN16" i="8"/>
  <c r="AN57" i="8" s="1"/>
  <c r="D38" i="7"/>
  <c r="E154" i="8"/>
  <c r="W8" i="12"/>
  <c r="AP16" i="8"/>
  <c r="AP57" i="8" s="1"/>
  <c r="J40" i="7"/>
  <c r="D24" i="9" l="1"/>
  <c r="W5" i="12" s="1"/>
  <c r="U5" i="12"/>
  <c r="AM160" i="8"/>
  <c r="AR160" i="8" s="1"/>
  <c r="C42" i="7"/>
  <c r="AO62" i="8"/>
  <c r="D48" i="7"/>
  <c r="D43" i="7"/>
  <c r="D44" i="7" s="1"/>
  <c r="AM80" i="8"/>
  <c r="AO80" i="8" s="1"/>
  <c r="D88" i="8"/>
  <c r="D82" i="8"/>
  <c r="G79" i="8"/>
  <c r="J63" i="7"/>
  <c r="E79" i="8"/>
  <c r="E110" i="8"/>
  <c r="H107" i="8"/>
  <c r="F63" i="7"/>
  <c r="I64" i="7"/>
  <c r="V11" i="12"/>
  <c r="F15" i="12"/>
  <c r="F64" i="7"/>
  <c r="L63" i="7"/>
  <c r="M63" i="7" s="1"/>
  <c r="G63" i="7"/>
  <c r="W11" i="12"/>
  <c r="J64" i="7"/>
  <c r="G15" i="12"/>
  <c r="AM103" i="8"/>
  <c r="D104" i="8"/>
  <c r="G104" i="8" s="1"/>
  <c r="AM113" i="8"/>
  <c r="L60" i="7"/>
  <c r="M60" i="7" s="1"/>
  <c r="F61" i="7"/>
  <c r="I61" i="7"/>
  <c r="K61" i="7" s="1"/>
  <c r="C62" i="7"/>
  <c r="V15" i="12" s="1"/>
  <c r="AN48" i="8"/>
  <c r="G38" i="7"/>
  <c r="AN23" i="8"/>
  <c r="G152" i="8"/>
  <c r="D164" i="8"/>
  <c r="D155" i="8" s="1"/>
  <c r="G155" i="8" s="1"/>
  <c r="L39" i="7"/>
  <c r="M39" i="7" s="1"/>
  <c r="F40" i="7"/>
  <c r="F37" i="7"/>
  <c r="L36" i="7"/>
  <c r="M36" i="7" s="1"/>
  <c r="I37" i="7"/>
  <c r="K37" i="7" s="1"/>
  <c r="I40" i="7"/>
  <c r="K40" i="7" s="1"/>
  <c r="AO16" i="8"/>
  <c r="AO57" i="8" s="1"/>
  <c r="D154" i="8"/>
  <c r="G154" i="8" s="1"/>
  <c r="C38" i="7"/>
  <c r="AM16" i="8"/>
  <c r="AM57" i="8" s="1"/>
  <c r="V8" i="12"/>
  <c r="Y8" i="12" s="1"/>
  <c r="S80" i="7"/>
  <c r="V81" i="7" s="1"/>
  <c r="X81" i="7" s="1"/>
  <c r="H154" i="8"/>
  <c r="J38" i="7"/>
  <c r="H47" i="8"/>
  <c r="AN17" i="8"/>
  <c r="J39" i="7"/>
  <c r="E20" i="8"/>
  <c r="Y5" i="12" l="1"/>
  <c r="X5" i="12"/>
  <c r="X15" i="12"/>
  <c r="V19" i="12"/>
  <c r="Z15" i="12"/>
  <c r="C22" i="12" s="1"/>
  <c r="F22" i="12" s="1"/>
  <c r="Y15" i="12"/>
  <c r="AN101" i="8"/>
  <c r="AN104" i="8" s="1"/>
  <c r="D20" i="12"/>
  <c r="AO113" i="8"/>
  <c r="AQ113" i="8" s="1"/>
  <c r="AR113" i="8" s="1"/>
  <c r="D45" i="7"/>
  <c r="U18" i="12" s="1"/>
  <c r="E155" i="8"/>
  <c r="M156" i="8" s="1"/>
  <c r="AQ160" i="8"/>
  <c r="AS161" i="8" s="1"/>
  <c r="AT161" i="8" s="1"/>
  <c r="E161" i="8" s="1"/>
  <c r="G42" i="7"/>
  <c r="AN62" i="8"/>
  <c r="C48" i="7"/>
  <c r="C43" i="7"/>
  <c r="C44" i="7" s="1"/>
  <c r="C45" i="7" s="1"/>
  <c r="T18" i="12" s="1"/>
  <c r="D85" i="8"/>
  <c r="G85" i="8" s="1"/>
  <c r="G82" i="8"/>
  <c r="AM89" i="8"/>
  <c r="AO89" i="8" s="1"/>
  <c r="G88" i="8"/>
  <c r="AN80" i="8"/>
  <c r="AP80" i="8" s="1"/>
  <c r="AQ80" i="8" s="1"/>
  <c r="AR80" i="8" s="1"/>
  <c r="E88" i="8"/>
  <c r="E82" i="8"/>
  <c r="H79" i="8"/>
  <c r="E113" i="8"/>
  <c r="H110" i="8"/>
  <c r="D107" i="8"/>
  <c r="D110" i="8" s="1"/>
  <c r="AO103" i="8"/>
  <c r="AQ103" i="8" s="1"/>
  <c r="D95" i="8"/>
  <c r="D92" i="8"/>
  <c r="G92" i="8" s="1"/>
  <c r="AM52" i="8"/>
  <c r="AO52" i="8" s="1"/>
  <c r="AQ52" i="8" s="1"/>
  <c r="AR52" i="8" s="1"/>
  <c r="AM100" i="8"/>
  <c r="AO100" i="8" s="1"/>
  <c r="AQ100" i="8" s="1"/>
  <c r="L62" i="7"/>
  <c r="M62" i="7" s="1"/>
  <c r="I63" i="7"/>
  <c r="K63" i="7" s="1"/>
  <c r="T11" i="12"/>
  <c r="L61" i="7"/>
  <c r="M61" i="7" s="1"/>
  <c r="F62" i="7"/>
  <c r="H65" i="8"/>
  <c r="E68" i="8"/>
  <c r="E71" i="8" s="1"/>
  <c r="E74" i="8" s="1"/>
  <c r="K64" i="7"/>
  <c r="I62" i="7"/>
  <c r="K62" i="7" s="1"/>
  <c r="D52" i="7"/>
  <c r="G52" i="7" s="1"/>
  <c r="G48" i="7"/>
  <c r="D49" i="7"/>
  <c r="AP101" i="8" s="1"/>
  <c r="AP104" i="8" s="1"/>
  <c r="AM48" i="8"/>
  <c r="S106" i="7"/>
  <c r="S107" i="7" s="1"/>
  <c r="AM23" i="8"/>
  <c r="AQ23" i="8" s="1"/>
  <c r="AR23" i="8" s="1"/>
  <c r="D20" i="8"/>
  <c r="G164" i="8"/>
  <c r="D158" i="8"/>
  <c r="G158" i="8" s="1"/>
  <c r="F38" i="7"/>
  <c r="L37" i="7"/>
  <c r="M37" i="7" s="1"/>
  <c r="L38" i="7"/>
  <c r="M38" i="7" s="1"/>
  <c r="G43" i="7"/>
  <c r="X8" i="12"/>
  <c r="AR57" i="8"/>
  <c r="AQ16" i="8"/>
  <c r="Y81" i="7"/>
  <c r="AR16" i="8"/>
  <c r="I38" i="7"/>
  <c r="K38" i="7" s="1"/>
  <c r="C6" i="9"/>
  <c r="F6" i="9" s="1"/>
  <c r="AQ57" i="8"/>
  <c r="I154" i="8"/>
  <c r="K154" i="8" s="1"/>
  <c r="K155" i="8" s="1"/>
  <c r="K156" i="8" s="1"/>
  <c r="AU31" i="8"/>
  <c r="AM17" i="8"/>
  <c r="AR17" i="8" s="1"/>
  <c r="I39" i="7"/>
  <c r="K39" i="7" s="1"/>
  <c r="AN112" i="8"/>
  <c r="H20" i="8"/>
  <c r="T87" i="7"/>
  <c r="S87" i="7"/>
  <c r="E151" i="8"/>
  <c r="D46" i="7"/>
  <c r="AN25" i="8"/>
  <c r="AN98" i="8" l="1"/>
  <c r="X19" i="12"/>
  <c r="Z19" i="12" s="1"/>
  <c r="C23" i="12" s="1"/>
  <c r="F23" i="12" s="1"/>
  <c r="Y19" i="12"/>
  <c r="C52" i="7"/>
  <c r="F52" i="7" s="1"/>
  <c r="C20" i="12"/>
  <c r="G46" i="7"/>
  <c r="W18" i="12"/>
  <c r="G20" i="12"/>
  <c r="D24" i="12"/>
  <c r="G24" i="12" s="1"/>
  <c r="F42" i="7"/>
  <c r="E85" i="8"/>
  <c r="H82" i="8"/>
  <c r="AN89" i="8"/>
  <c r="AP89" i="8" s="1"/>
  <c r="AQ89" i="8" s="1"/>
  <c r="H88" i="8"/>
  <c r="G107" i="8"/>
  <c r="H74" i="8"/>
  <c r="H71" i="8"/>
  <c r="E115" i="8"/>
  <c r="H113" i="8"/>
  <c r="D101" i="8"/>
  <c r="G95" i="8"/>
  <c r="AR103" i="8"/>
  <c r="AR100" i="8"/>
  <c r="H68" i="8"/>
  <c r="X11" i="12"/>
  <c r="Y11" i="12"/>
  <c r="AM101" i="8"/>
  <c r="AM104" i="8" s="1"/>
  <c r="D50" i="7"/>
  <c r="F48" i="7"/>
  <c r="C49" i="7"/>
  <c r="AO101" i="8" s="1"/>
  <c r="AO104" i="8" s="1"/>
  <c r="G49" i="7"/>
  <c r="AP98" i="8"/>
  <c r="S109" i="7"/>
  <c r="T109" i="7" s="1"/>
  <c r="T110" i="7" s="1"/>
  <c r="T106" i="7"/>
  <c r="E163" i="8"/>
  <c r="AN163" i="8" s="1"/>
  <c r="AP163" i="8" s="1"/>
  <c r="H161" i="8"/>
  <c r="D161" i="8"/>
  <c r="M162" i="8" s="1"/>
  <c r="AS58" i="8"/>
  <c r="P156" i="8"/>
  <c r="H155" i="8"/>
  <c r="Q155" i="8"/>
  <c r="J154" i="8"/>
  <c r="L154" i="8" s="1"/>
  <c r="AG154" i="8" s="1"/>
  <c r="AQ17" i="8"/>
  <c r="AM25" i="8"/>
  <c r="C46" i="7"/>
  <c r="V18" i="12" s="1"/>
  <c r="AM112" i="8"/>
  <c r="D151" i="8"/>
  <c r="E152" i="8" s="1"/>
  <c r="G20" i="8"/>
  <c r="H151" i="8"/>
  <c r="D113" i="8"/>
  <c r="G113" i="8" s="1"/>
  <c r="G110" i="8"/>
  <c r="S94" i="7"/>
  <c r="V87" i="7"/>
  <c r="S91" i="7"/>
  <c r="V91" i="7" s="1"/>
  <c r="S86" i="7"/>
  <c r="V86" i="7" s="1"/>
  <c r="S88" i="7"/>
  <c r="G44" i="7"/>
  <c r="E139" i="8"/>
  <c r="J43" i="7"/>
  <c r="T86" i="7"/>
  <c r="W86" i="7" s="1"/>
  <c r="T94" i="7"/>
  <c r="AP15" i="8" s="1"/>
  <c r="W87" i="7"/>
  <c r="T88" i="7"/>
  <c r="T91" i="7"/>
  <c r="W91" i="7" s="1"/>
  <c r="C24" i="12" l="1"/>
  <c r="F24" i="12" s="1"/>
  <c r="F20" i="12"/>
  <c r="Y18" i="12"/>
  <c r="X18" i="12"/>
  <c r="AR89" i="8"/>
  <c r="H85" i="8"/>
  <c r="D98" i="8"/>
  <c r="G98" i="8" s="1"/>
  <c r="G101" i="8"/>
  <c r="H115" i="8"/>
  <c r="E118" i="8"/>
  <c r="H118" i="8" s="1"/>
  <c r="H92" i="8"/>
  <c r="E95" i="8"/>
  <c r="H95" i="8" s="1"/>
  <c r="E101" i="8"/>
  <c r="AP26" i="8"/>
  <c r="Y6" i="9"/>
  <c r="Y10" i="9" s="1"/>
  <c r="P157" i="8"/>
  <c r="P158" i="8" s="1"/>
  <c r="S158" i="8" s="1"/>
  <c r="T158" i="8" s="1"/>
  <c r="AM98" i="8"/>
  <c r="AP29" i="8"/>
  <c r="AP20" i="8" s="1"/>
  <c r="D51" i="7"/>
  <c r="E31" i="8"/>
  <c r="H31" i="8" s="1"/>
  <c r="G50" i="7"/>
  <c r="J50" i="7"/>
  <c r="D54" i="7"/>
  <c r="D55" i="7" s="1"/>
  <c r="D72" i="7" s="1"/>
  <c r="C54" i="7"/>
  <c r="AQ101" i="8"/>
  <c r="AR101" i="8" s="1"/>
  <c r="C50" i="7"/>
  <c r="L48" i="7"/>
  <c r="M48" i="7" s="1"/>
  <c r="AQ104" i="8"/>
  <c r="AR104" i="8" s="1"/>
  <c r="AS104" i="8" s="1"/>
  <c r="AO98" i="8"/>
  <c r="F49" i="7"/>
  <c r="I49" i="7"/>
  <c r="H163" i="8"/>
  <c r="D163" i="8"/>
  <c r="AM163" i="8" s="1"/>
  <c r="AO163" i="8" s="1"/>
  <c r="AQ163" i="8" s="1"/>
  <c r="P162" i="8"/>
  <c r="P163" i="8" s="1"/>
  <c r="G161" i="8"/>
  <c r="F43" i="7"/>
  <c r="L42" i="7"/>
  <c r="M42" i="7" s="1"/>
  <c r="F46" i="7"/>
  <c r="AO15" i="8"/>
  <c r="AO107" i="8" s="1"/>
  <c r="AO33" i="8" s="1"/>
  <c r="S156" i="8"/>
  <c r="T156" i="8" s="1"/>
  <c r="I43" i="7"/>
  <c r="K43" i="7" s="1"/>
  <c r="AT58" i="8"/>
  <c r="L155" i="8"/>
  <c r="AG155" i="8" s="1"/>
  <c r="G151" i="8"/>
  <c r="I151" i="8"/>
  <c r="K151" i="8" s="1"/>
  <c r="K152" i="8" s="1"/>
  <c r="K153" i="8" s="1"/>
  <c r="M153" i="8"/>
  <c r="D139" i="8"/>
  <c r="D140" i="8" s="1"/>
  <c r="I160" i="8"/>
  <c r="G160" i="8"/>
  <c r="H139" i="8"/>
  <c r="J139" i="8"/>
  <c r="L139" i="8" s="1"/>
  <c r="L140" i="8" s="1"/>
  <c r="L141" i="8" s="1"/>
  <c r="E142" i="8"/>
  <c r="W88" i="7"/>
  <c r="T89" i="7"/>
  <c r="T95" i="7"/>
  <c r="AN15" i="8" s="1"/>
  <c r="AP13" i="8" s="1"/>
  <c r="J44" i="7"/>
  <c r="E131" i="8"/>
  <c r="D8" i="12"/>
  <c r="G45" i="7"/>
  <c r="E128" i="8"/>
  <c r="H128" i="8" s="1"/>
  <c r="AP107" i="8"/>
  <c r="T98" i="7"/>
  <c r="W98" i="7" s="1"/>
  <c r="T93" i="7"/>
  <c r="W93" i="7" s="1"/>
  <c r="W94" i="7"/>
  <c r="S89" i="7"/>
  <c r="V88" i="7"/>
  <c r="S95" i="7"/>
  <c r="AM15" i="8" s="1"/>
  <c r="S93" i="7"/>
  <c r="V93" i="7" s="1"/>
  <c r="V94" i="7"/>
  <c r="S98" i="7"/>
  <c r="V98" i="7" s="1"/>
  <c r="AA19" i="12" l="1"/>
  <c r="AB19" i="12" s="1"/>
  <c r="G8" i="12"/>
  <c r="D2" i="12"/>
  <c r="G2" i="12" s="1"/>
  <c r="G72" i="7"/>
  <c r="AN79" i="8"/>
  <c r="E98" i="8"/>
  <c r="H98" i="8" s="1"/>
  <c r="H101" i="8"/>
  <c r="D73" i="7"/>
  <c r="D76" i="7"/>
  <c r="G76" i="7" s="1"/>
  <c r="G51" i="7"/>
  <c r="W6" i="9"/>
  <c r="W10" i="9" s="1"/>
  <c r="AO26" i="8"/>
  <c r="X6" i="9"/>
  <c r="X10" i="9" s="1"/>
  <c r="S157" i="8"/>
  <c r="T157" i="8" s="1"/>
  <c r="AQ98" i="8"/>
  <c r="AR98" i="8" s="1"/>
  <c r="AN26" i="8"/>
  <c r="J51" i="7"/>
  <c r="AN29" i="8"/>
  <c r="AN20" i="8" s="1"/>
  <c r="AS101" i="8"/>
  <c r="D100" i="8" s="1"/>
  <c r="D31" i="8"/>
  <c r="G31" i="8" s="1"/>
  <c r="F50" i="7"/>
  <c r="C51" i="7"/>
  <c r="AO29" i="8"/>
  <c r="AO20" i="8" s="1"/>
  <c r="AT104" i="8"/>
  <c r="E103" i="8" s="1"/>
  <c r="D103" i="8"/>
  <c r="P164" i="8"/>
  <c r="S164" i="8" s="1"/>
  <c r="T164" i="8" s="1"/>
  <c r="S163" i="8"/>
  <c r="I163" i="8"/>
  <c r="K163" i="8" s="1"/>
  <c r="K164" i="8" s="1"/>
  <c r="K165" i="8" s="1"/>
  <c r="AR163" i="8"/>
  <c r="AT164" i="8" s="1"/>
  <c r="E164" i="8" s="1"/>
  <c r="H164" i="8" s="1"/>
  <c r="G163" i="8"/>
  <c r="J160" i="8"/>
  <c r="L160" i="8" s="1"/>
  <c r="L161" i="8" s="1"/>
  <c r="L43" i="7"/>
  <c r="M43" i="7" s="1"/>
  <c r="F44" i="7"/>
  <c r="AO13" i="8"/>
  <c r="Q161" i="8"/>
  <c r="H160" i="8"/>
  <c r="D15" i="9"/>
  <c r="W7" i="12" s="1"/>
  <c r="D14" i="9"/>
  <c r="U7" i="12" s="1"/>
  <c r="L156" i="8"/>
  <c r="AG156" i="8" s="1"/>
  <c r="H152" i="8"/>
  <c r="P153" i="8"/>
  <c r="J151" i="8"/>
  <c r="N156" i="8" s="1"/>
  <c r="N157" i="8" s="1"/>
  <c r="N158" i="8" s="1"/>
  <c r="Q152" i="8"/>
  <c r="G139" i="8"/>
  <c r="D142" i="8"/>
  <c r="I44" i="7"/>
  <c r="K44" i="7" s="1"/>
  <c r="D128" i="8"/>
  <c r="C8" i="12"/>
  <c r="D131" i="8"/>
  <c r="Q140" i="8"/>
  <c r="G14" i="9"/>
  <c r="K160" i="8"/>
  <c r="K161" i="8" s="1"/>
  <c r="K162" i="8" s="1"/>
  <c r="H142" i="8"/>
  <c r="J45" i="7"/>
  <c r="AP112" i="8"/>
  <c r="E134" i="8"/>
  <c r="H131" i="8"/>
  <c r="AP25" i="8"/>
  <c r="E116" i="8"/>
  <c r="D115" i="8" s="1"/>
  <c r="J46" i="7"/>
  <c r="T90" i="7"/>
  <c r="W89" i="7"/>
  <c r="S96" i="7"/>
  <c r="V95" i="7"/>
  <c r="V89" i="7"/>
  <c r="S90" i="7"/>
  <c r="E145" i="8"/>
  <c r="E146" i="8"/>
  <c r="H146" i="8" s="1"/>
  <c r="J142" i="8"/>
  <c r="L142" i="8" s="1"/>
  <c r="W95" i="7"/>
  <c r="T96" i="7"/>
  <c r="AG139" i="8"/>
  <c r="D23" i="12" l="1"/>
  <c r="G23" i="12" s="1"/>
  <c r="F8" i="12"/>
  <c r="C2" i="12"/>
  <c r="F2" i="12" s="1"/>
  <c r="J73" i="7"/>
  <c r="D14" i="12"/>
  <c r="D106" i="8"/>
  <c r="P105" i="8"/>
  <c r="M105" i="8"/>
  <c r="E106" i="8"/>
  <c r="Q104" i="8"/>
  <c r="G73" i="7"/>
  <c r="E70" i="8"/>
  <c r="AP79" i="8"/>
  <c r="D74" i="7"/>
  <c r="AM26" i="8"/>
  <c r="V6" i="9"/>
  <c r="V10" i="9" s="1"/>
  <c r="G15" i="9"/>
  <c r="T163" i="8"/>
  <c r="AT101" i="8"/>
  <c r="E100" i="8" s="1"/>
  <c r="Q101" i="8" s="1"/>
  <c r="AM29" i="8"/>
  <c r="AQ29" i="8" s="1"/>
  <c r="AR29" i="8" s="1"/>
  <c r="F51" i="7"/>
  <c r="M141" i="8"/>
  <c r="P141" i="8"/>
  <c r="S153" i="8"/>
  <c r="M165" i="8"/>
  <c r="Q164" i="8"/>
  <c r="J163" i="8"/>
  <c r="L163" i="8" s="1"/>
  <c r="P165" i="8"/>
  <c r="AG160" i="8"/>
  <c r="F45" i="7"/>
  <c r="L44" i="7"/>
  <c r="M44" i="7" s="1"/>
  <c r="L45" i="7"/>
  <c r="M45" i="7" s="1"/>
  <c r="S162" i="8"/>
  <c r="P154" i="8"/>
  <c r="P155" i="8" s="1"/>
  <c r="S155" i="8" s="1"/>
  <c r="I45" i="7"/>
  <c r="K45" i="7" s="1"/>
  <c r="D143" i="8"/>
  <c r="Q143" i="8" s="1"/>
  <c r="I139" i="8"/>
  <c r="G140" i="8"/>
  <c r="L151" i="8"/>
  <c r="AG151" i="8" s="1"/>
  <c r="D116" i="8"/>
  <c r="AO25" i="8"/>
  <c r="AR25" i="8" s="1"/>
  <c r="I46" i="7"/>
  <c r="K46" i="7" s="1"/>
  <c r="AO112" i="8"/>
  <c r="AQ112" i="8" s="1"/>
  <c r="D134" i="8"/>
  <c r="I130" i="8"/>
  <c r="G131" i="8"/>
  <c r="G128" i="8"/>
  <c r="I127" i="8"/>
  <c r="G142" i="8"/>
  <c r="D145" i="8"/>
  <c r="X7" i="12"/>
  <c r="Y7" i="12"/>
  <c r="L162" i="8"/>
  <c r="AG162" i="8" s="1"/>
  <c r="AG161" i="8"/>
  <c r="H116" i="8"/>
  <c r="E136" i="8"/>
  <c r="H145" i="8"/>
  <c r="J133" i="8"/>
  <c r="L133" i="8" s="1"/>
  <c r="H134" i="8"/>
  <c r="AQ15" i="8"/>
  <c r="W90" i="7"/>
  <c r="T101" i="7"/>
  <c r="W101" i="7" s="1"/>
  <c r="AR15" i="8"/>
  <c r="S97" i="7"/>
  <c r="V96" i="7"/>
  <c r="W96" i="7"/>
  <c r="T97" i="7"/>
  <c r="AG140" i="8"/>
  <c r="AG141" i="8"/>
  <c r="AG142" i="8"/>
  <c r="L143" i="8"/>
  <c r="E148" i="8"/>
  <c r="J145" i="8"/>
  <c r="L145" i="8" s="1"/>
  <c r="S101" i="7"/>
  <c r="V101" i="7" s="1"/>
  <c r="V90" i="7"/>
  <c r="E119" i="8"/>
  <c r="J115" i="8"/>
  <c r="L115" i="8" s="1"/>
  <c r="J74" i="7" l="1"/>
  <c r="W14" i="9"/>
  <c r="D137" i="8"/>
  <c r="G137" i="8" s="1"/>
  <c r="Q107" i="8"/>
  <c r="L116" i="8"/>
  <c r="AG115" i="8"/>
  <c r="L134" i="8"/>
  <c r="AG133" i="8"/>
  <c r="D118" i="8"/>
  <c r="P117" i="8"/>
  <c r="Q116" i="8"/>
  <c r="M117" i="8"/>
  <c r="S105" i="8"/>
  <c r="T105" i="8" s="1"/>
  <c r="P106" i="8"/>
  <c r="P108" i="8"/>
  <c r="M108" i="8"/>
  <c r="M102" i="8"/>
  <c r="P102" i="8"/>
  <c r="E58" i="8"/>
  <c r="G74" i="7"/>
  <c r="E73" i="8"/>
  <c r="H70" i="8"/>
  <c r="J70" i="8"/>
  <c r="L70" i="8" s="1"/>
  <c r="AG70" i="8" s="1"/>
  <c r="D75" i="7"/>
  <c r="T155" i="8"/>
  <c r="T153" i="8"/>
  <c r="T162" i="8"/>
  <c r="T117" i="7"/>
  <c r="T118" i="7"/>
  <c r="AM20" i="8"/>
  <c r="AS31" i="8"/>
  <c r="AT31" i="8"/>
  <c r="K130" i="8"/>
  <c r="K131" i="8" s="1"/>
  <c r="K132" i="8" s="1"/>
  <c r="K139" i="8"/>
  <c r="K140" i="8" s="1"/>
  <c r="K141" i="8" s="1"/>
  <c r="K127" i="8"/>
  <c r="K128" i="8" s="1"/>
  <c r="K129" i="8" s="1"/>
  <c r="H14" i="8"/>
  <c r="S165" i="8"/>
  <c r="L164" i="8"/>
  <c r="AG163" i="8"/>
  <c r="R165" i="8"/>
  <c r="N165" i="8"/>
  <c r="G143" i="8"/>
  <c r="AQ25" i="8"/>
  <c r="S154" i="8"/>
  <c r="S141" i="8"/>
  <c r="P147" i="8"/>
  <c r="S147" i="8" s="1"/>
  <c r="M147" i="8"/>
  <c r="P144" i="8"/>
  <c r="S144" i="8" s="1"/>
  <c r="P142" i="8"/>
  <c r="S142" i="8" s="1"/>
  <c r="M144" i="8"/>
  <c r="I142" i="8"/>
  <c r="N144" i="8" s="1"/>
  <c r="N145" i="8" s="1"/>
  <c r="N146" i="8" s="1"/>
  <c r="AR112" i="8"/>
  <c r="AS113" i="8" s="1"/>
  <c r="D112" i="8" s="1"/>
  <c r="L152" i="8"/>
  <c r="L153" i="8" s="1"/>
  <c r="AG153" i="8" s="1"/>
  <c r="G134" i="8"/>
  <c r="D136" i="8"/>
  <c r="D133" i="8"/>
  <c r="G145" i="8"/>
  <c r="I145" i="8"/>
  <c r="K145" i="8" s="1"/>
  <c r="K146" i="8" s="1"/>
  <c r="K147" i="8" s="1"/>
  <c r="D148" i="8"/>
  <c r="Q146" i="8"/>
  <c r="G116" i="8"/>
  <c r="D119" i="8"/>
  <c r="Z8" i="12"/>
  <c r="C7" i="12" s="1"/>
  <c r="F7" i="12" s="1"/>
  <c r="H136" i="8"/>
  <c r="H119" i="8"/>
  <c r="J136" i="8"/>
  <c r="G115" i="8"/>
  <c r="H148" i="8"/>
  <c r="T100" i="7"/>
  <c r="W100" i="7" s="1"/>
  <c r="W97" i="7"/>
  <c r="AS16" i="8"/>
  <c r="AS17" i="8"/>
  <c r="AG143" i="8"/>
  <c r="L144" i="8"/>
  <c r="AG144" i="8" s="1"/>
  <c r="I115" i="8"/>
  <c r="AG145" i="8"/>
  <c r="L146" i="8"/>
  <c r="S100" i="7"/>
  <c r="V100" i="7" s="1"/>
  <c r="V97" i="7"/>
  <c r="E122" i="8"/>
  <c r="J118" i="8"/>
  <c r="L118" i="8" s="1"/>
  <c r="J75" i="7" l="1"/>
  <c r="Y14" i="9"/>
  <c r="D13" i="12"/>
  <c r="H122" i="8"/>
  <c r="E149" i="8"/>
  <c r="M150" i="8" s="1"/>
  <c r="L119" i="8"/>
  <c r="AG118" i="8"/>
  <c r="L135" i="8"/>
  <c r="AG135" i="8" s="1"/>
  <c r="AG134" i="8"/>
  <c r="L117" i="8"/>
  <c r="AG117" i="8" s="1"/>
  <c r="AG116" i="8"/>
  <c r="S108" i="8"/>
  <c r="T108" i="8" s="1"/>
  <c r="P109" i="8"/>
  <c r="D109" i="8"/>
  <c r="S102" i="8"/>
  <c r="T102" i="8" s="1"/>
  <c r="P103" i="8"/>
  <c r="S117" i="8"/>
  <c r="T117" i="8" s="1"/>
  <c r="P118" i="8"/>
  <c r="P107" i="8"/>
  <c r="S107" i="8" s="1"/>
  <c r="T107" i="8" s="1"/>
  <c r="S106" i="8"/>
  <c r="T106" i="8" s="1"/>
  <c r="M135" i="8"/>
  <c r="P135" i="8"/>
  <c r="Q134" i="8"/>
  <c r="AI115" i="8"/>
  <c r="AI116" i="8" s="1"/>
  <c r="AI106" i="8"/>
  <c r="AI107" i="8" s="1"/>
  <c r="AI94" i="8"/>
  <c r="AI95" i="8" s="1"/>
  <c r="AI79" i="8"/>
  <c r="AI80" i="8" s="1"/>
  <c r="AI130" i="8"/>
  <c r="AI131" i="8" s="1"/>
  <c r="AI118" i="8"/>
  <c r="AI119" i="8" s="1"/>
  <c r="AI88" i="8"/>
  <c r="AI89" i="8" s="1"/>
  <c r="AI43" i="8"/>
  <c r="AI44" i="8" s="1"/>
  <c r="AI46" i="8"/>
  <c r="AI47" i="8" s="1"/>
  <c r="AI40" i="8"/>
  <c r="AI41" i="8" s="1"/>
  <c r="AI121" i="8"/>
  <c r="AI122" i="8" s="1"/>
  <c r="AI109" i="8"/>
  <c r="AI110" i="8" s="1"/>
  <c r="AI100" i="8"/>
  <c r="AI101" i="8" s="1"/>
  <c r="AI97" i="8"/>
  <c r="AI98" i="8" s="1"/>
  <c r="AI73" i="8"/>
  <c r="AI74" i="8" s="1"/>
  <c r="AI124" i="8"/>
  <c r="AI125" i="8" s="1"/>
  <c r="AI133" i="8"/>
  <c r="AI134" i="8" s="1"/>
  <c r="AI67" i="8"/>
  <c r="AI68" i="8" s="1"/>
  <c r="AI61" i="8"/>
  <c r="AI62" i="8" s="1"/>
  <c r="AI55" i="8"/>
  <c r="AI56" i="8" s="1"/>
  <c r="AI49" i="8"/>
  <c r="AI50" i="8" s="1"/>
  <c r="AI112" i="8"/>
  <c r="AI113" i="8" s="1"/>
  <c r="AI103" i="8"/>
  <c r="AI104" i="8" s="1"/>
  <c r="AI91" i="8"/>
  <c r="AI92" i="8" s="1"/>
  <c r="AI76" i="8"/>
  <c r="AI77" i="8" s="1"/>
  <c r="AI136" i="8"/>
  <c r="AI137" i="8" s="1"/>
  <c r="AI127" i="8"/>
  <c r="AI128" i="8" s="1"/>
  <c r="AI85" i="8"/>
  <c r="AI86" i="8" s="1"/>
  <c r="AI70" i="8"/>
  <c r="AI71" i="8" s="1"/>
  <c r="AI64" i="8"/>
  <c r="AI65" i="8" s="1"/>
  <c r="AI58" i="8"/>
  <c r="AI59" i="8" s="1"/>
  <c r="AI52" i="8"/>
  <c r="AI53" i="8" s="1"/>
  <c r="AI82" i="8"/>
  <c r="AI83" i="8" s="1"/>
  <c r="P120" i="8"/>
  <c r="M120" i="8"/>
  <c r="Q119" i="8"/>
  <c r="P138" i="8"/>
  <c r="S138" i="8" s="1"/>
  <c r="T138" i="8" s="1"/>
  <c r="M138" i="8"/>
  <c r="Q137" i="8"/>
  <c r="L71" i="8"/>
  <c r="AG71" i="8" s="1"/>
  <c r="G75" i="7"/>
  <c r="E46" i="8"/>
  <c r="E76" i="8"/>
  <c r="H73" i="8"/>
  <c r="J73" i="8"/>
  <c r="L73" i="8" s="1"/>
  <c r="AG73" i="8" s="1"/>
  <c r="J76" i="7"/>
  <c r="H53" i="6"/>
  <c r="O14" i="8"/>
  <c r="T142" i="8"/>
  <c r="T144" i="8"/>
  <c r="T147" i="8"/>
  <c r="T141" i="8"/>
  <c r="T165" i="8"/>
  <c r="T154" i="8"/>
  <c r="AM107" i="8"/>
  <c r="AM33" i="8" s="1"/>
  <c r="D29" i="8"/>
  <c r="AM28" i="8"/>
  <c r="AO28" i="8" s="1"/>
  <c r="AI34" i="8"/>
  <c r="AI35" i="8" s="1"/>
  <c r="AI31" i="8"/>
  <c r="AI32" i="8" s="1"/>
  <c r="AI22" i="8"/>
  <c r="AI23" i="8" s="1"/>
  <c r="AI37" i="8"/>
  <c r="AI38" i="8" s="1"/>
  <c r="AI28" i="8"/>
  <c r="AI29" i="8" s="1"/>
  <c r="AI25" i="8"/>
  <c r="AI26" i="8" s="1"/>
  <c r="G136" i="8"/>
  <c r="K115" i="8"/>
  <c r="K116" i="8" s="1"/>
  <c r="K117" i="8" s="1"/>
  <c r="L136" i="8"/>
  <c r="L14" i="8"/>
  <c r="AI163" i="8"/>
  <c r="AI164" i="8" s="1"/>
  <c r="L165" i="8"/>
  <c r="AG165" i="8" s="1"/>
  <c r="AG164" i="8"/>
  <c r="AI154" i="8"/>
  <c r="AI155" i="8" s="1"/>
  <c r="AI151" i="8"/>
  <c r="AI152" i="8" s="1"/>
  <c r="AI142" i="8"/>
  <c r="AI143" i="8" s="1"/>
  <c r="AI160" i="8"/>
  <c r="AI161" i="8" s="1"/>
  <c r="AI145" i="8"/>
  <c r="AI146" i="8" s="1"/>
  <c r="AI157" i="8"/>
  <c r="AI158" i="8" s="1"/>
  <c r="AI148" i="8"/>
  <c r="AI149" i="8" s="1"/>
  <c r="AI139" i="8"/>
  <c r="AI140" i="8" s="1"/>
  <c r="P148" i="8"/>
  <c r="S148" i="8" s="1"/>
  <c r="T148" i="8" s="1"/>
  <c r="P143" i="8"/>
  <c r="S143" i="8" s="1"/>
  <c r="K142" i="8"/>
  <c r="K143" i="8" s="1"/>
  <c r="K144" i="8" s="1"/>
  <c r="P145" i="8"/>
  <c r="S145" i="8" s="1"/>
  <c r="AG152" i="8"/>
  <c r="G148" i="8"/>
  <c r="I148" i="8"/>
  <c r="K148" i="8" s="1"/>
  <c r="K149" i="8" s="1"/>
  <c r="K150" i="8" s="1"/>
  <c r="I133" i="8"/>
  <c r="G133" i="8"/>
  <c r="D122" i="8"/>
  <c r="G119" i="8"/>
  <c r="N147" i="8"/>
  <c r="N148" i="8" s="1"/>
  <c r="N149" i="8" s="1"/>
  <c r="AA8" i="12"/>
  <c r="D7" i="12" s="1"/>
  <c r="G7" i="12" s="1"/>
  <c r="AT113" i="8"/>
  <c r="E112" i="8" s="1"/>
  <c r="Q113" i="8" s="1"/>
  <c r="I136" i="8"/>
  <c r="G112" i="8"/>
  <c r="I112" i="8"/>
  <c r="G118" i="8"/>
  <c r="I118" i="8"/>
  <c r="N120" i="8" s="1"/>
  <c r="AT17" i="8"/>
  <c r="D157" i="8"/>
  <c r="AT16" i="8"/>
  <c r="E157" i="8" s="1"/>
  <c r="AG146" i="8"/>
  <c r="L147" i="8"/>
  <c r="AG147" i="8" s="1"/>
  <c r="E125" i="8"/>
  <c r="H125" i="8" s="1"/>
  <c r="J148" i="8" l="1"/>
  <c r="N153" i="8" s="1"/>
  <c r="N154" i="8" s="1"/>
  <c r="N155" i="8" s="1"/>
  <c r="H149" i="8"/>
  <c r="P150" i="8"/>
  <c r="S150" i="8" s="1"/>
  <c r="T150" i="8" s="1"/>
  <c r="Q149" i="8"/>
  <c r="E158" i="8"/>
  <c r="H158" i="8" s="1"/>
  <c r="N138" i="8"/>
  <c r="N139" i="8" s="1"/>
  <c r="N140" i="8" s="1"/>
  <c r="L137" i="8"/>
  <c r="AG136" i="8"/>
  <c r="L120" i="8"/>
  <c r="AG120" i="8" s="1"/>
  <c r="AG119" i="8"/>
  <c r="K112" i="8"/>
  <c r="K113" i="8" s="1"/>
  <c r="K114" i="8" s="1"/>
  <c r="P139" i="8"/>
  <c r="P140" i="8" s="1"/>
  <c r="S120" i="8"/>
  <c r="T120" i="8" s="1"/>
  <c r="P121" i="8"/>
  <c r="P104" i="8"/>
  <c r="S104" i="8" s="1"/>
  <c r="T104" i="8" s="1"/>
  <c r="S103" i="8"/>
  <c r="T103" i="8" s="1"/>
  <c r="S135" i="8"/>
  <c r="T135" i="8" s="1"/>
  <c r="P136" i="8"/>
  <c r="M114" i="8"/>
  <c r="N121" i="8"/>
  <c r="N122" i="8" s="1"/>
  <c r="P110" i="8"/>
  <c r="S110" i="8" s="1"/>
  <c r="T110" i="8" s="1"/>
  <c r="S109" i="8"/>
  <c r="T109" i="8" s="1"/>
  <c r="P114" i="8"/>
  <c r="H12" i="8" s="1"/>
  <c r="P119" i="8"/>
  <c r="S119" i="8" s="1"/>
  <c r="T119" i="8" s="1"/>
  <c r="S118" i="8"/>
  <c r="T118" i="8" s="1"/>
  <c r="L74" i="8"/>
  <c r="AG74" i="8" s="1"/>
  <c r="H76" i="8"/>
  <c r="L72" i="8"/>
  <c r="AG72" i="8" s="1"/>
  <c r="AN33" i="8"/>
  <c r="AO63" i="8" s="1"/>
  <c r="AN63" i="8"/>
  <c r="T145" i="8"/>
  <c r="T143" i="8"/>
  <c r="AN107" i="8"/>
  <c r="AR107" i="8" s="1"/>
  <c r="E29" i="8"/>
  <c r="AN28" i="8"/>
  <c r="AP28" i="8" s="1"/>
  <c r="E109" i="8"/>
  <c r="Q110" i="8" s="1"/>
  <c r="K133" i="8"/>
  <c r="K134" i="8" s="1"/>
  <c r="K135" i="8" s="1"/>
  <c r="K118" i="8"/>
  <c r="K119" i="8" s="1"/>
  <c r="K120" i="8" s="1"/>
  <c r="K136" i="8"/>
  <c r="K137" i="8" s="1"/>
  <c r="K138" i="8" s="1"/>
  <c r="N141" i="8"/>
  <c r="N142" i="8" s="1"/>
  <c r="N143" i="8" s="1"/>
  <c r="P149" i="8"/>
  <c r="S149" i="8" s="1"/>
  <c r="P146" i="8"/>
  <c r="S146" i="8" s="1"/>
  <c r="D125" i="8"/>
  <c r="I121" i="8"/>
  <c r="G122" i="8"/>
  <c r="AB8" i="12"/>
  <c r="H157" i="8"/>
  <c r="I157" i="8"/>
  <c r="G157" i="8"/>
  <c r="H112" i="8"/>
  <c r="J112" i="8"/>
  <c r="N117" i="8" s="1"/>
  <c r="AU17" i="8"/>
  <c r="AU16" i="8"/>
  <c r="L148" i="8" l="1"/>
  <c r="AG148" i="8" s="1"/>
  <c r="N150" i="8"/>
  <c r="N151" i="8" s="1"/>
  <c r="N152" i="8" s="1"/>
  <c r="P151" i="8"/>
  <c r="S151" i="8" s="1"/>
  <c r="T151" i="8" s="1"/>
  <c r="E127" i="8"/>
  <c r="E124" i="8"/>
  <c r="Q125" i="8" s="1"/>
  <c r="D23" i="6"/>
  <c r="D86" i="6" s="1"/>
  <c r="D89" i="6" s="1"/>
  <c r="J89" i="6" s="1"/>
  <c r="O12" i="8"/>
  <c r="L12" i="8"/>
  <c r="P111" i="8"/>
  <c r="S111" i="8" s="1"/>
  <c r="T111" i="8" s="1"/>
  <c r="L138" i="8"/>
  <c r="AG138" i="8" s="1"/>
  <c r="AG137" i="8"/>
  <c r="N118" i="8"/>
  <c r="N119" i="8" s="1"/>
  <c r="S121" i="8"/>
  <c r="T121" i="8" s="1"/>
  <c r="P122" i="8"/>
  <c r="S122" i="8" s="1"/>
  <c r="T122" i="8" s="1"/>
  <c r="S114" i="8"/>
  <c r="T114" i="8" s="1"/>
  <c r="P115" i="8"/>
  <c r="P137" i="8"/>
  <c r="S137" i="8" s="1"/>
  <c r="T137" i="8" s="1"/>
  <c r="S136" i="8"/>
  <c r="T136" i="8" s="1"/>
  <c r="M111" i="8"/>
  <c r="L75" i="8"/>
  <c r="AG75" i="8" s="1"/>
  <c r="AR62" i="8"/>
  <c r="AS62" i="8" s="1"/>
  <c r="AR63" i="8"/>
  <c r="AS63" i="8" s="1"/>
  <c r="T146" i="8"/>
  <c r="T149" i="8"/>
  <c r="AQ107" i="8"/>
  <c r="AP33" i="8" s="1"/>
  <c r="K121" i="8"/>
  <c r="K122" i="8" s="1"/>
  <c r="K123" i="8" s="1"/>
  <c r="L112" i="8"/>
  <c r="G125" i="8"/>
  <c r="I124" i="8"/>
  <c r="M159" i="8"/>
  <c r="P159" i="8"/>
  <c r="K157" i="8"/>
  <c r="K158" i="8" s="1"/>
  <c r="K159" i="8" s="1"/>
  <c r="J157" i="8"/>
  <c r="L157" i="8" s="1"/>
  <c r="S139" i="8"/>
  <c r="Q158" i="8"/>
  <c r="L149" i="8" l="1"/>
  <c r="L150" i="8" s="1"/>
  <c r="AG150" i="8" s="1"/>
  <c r="P152" i="8"/>
  <c r="S152" i="8" s="1"/>
  <c r="J86" i="6"/>
  <c r="P112" i="8"/>
  <c r="S112" i="8" s="1"/>
  <c r="T112" i="8" s="1"/>
  <c r="P126" i="8"/>
  <c r="M126" i="8"/>
  <c r="Q128" i="8"/>
  <c r="M129" i="8"/>
  <c r="P129" i="8"/>
  <c r="L113" i="8"/>
  <c r="AG112" i="8"/>
  <c r="P116" i="8"/>
  <c r="S116" i="8" s="1"/>
  <c r="T116" i="8" s="1"/>
  <c r="S115" i="8"/>
  <c r="T115" i="8" s="1"/>
  <c r="T139" i="8"/>
  <c r="K124" i="8"/>
  <c r="K125" i="8" s="1"/>
  <c r="K126" i="8" s="1"/>
  <c r="N162" i="8"/>
  <c r="N163" i="8" s="1"/>
  <c r="N164" i="8" s="1"/>
  <c r="H13" i="8"/>
  <c r="O13" i="8" s="1"/>
  <c r="P160" i="8"/>
  <c r="P161" i="8" s="1"/>
  <c r="J127" i="8"/>
  <c r="L127" i="8" s="1"/>
  <c r="H127" i="8"/>
  <c r="E130" i="8"/>
  <c r="E121" i="8"/>
  <c r="H124" i="8"/>
  <c r="J124" i="8"/>
  <c r="L124" i="8" s="1"/>
  <c r="L158" i="8"/>
  <c r="AG157" i="8"/>
  <c r="N159" i="8"/>
  <c r="N160" i="8" s="1"/>
  <c r="N161" i="8" s="1"/>
  <c r="S159" i="8"/>
  <c r="S140" i="8"/>
  <c r="T140" i="8" s="1"/>
  <c r="AG149" i="8" l="1"/>
  <c r="P113" i="8"/>
  <c r="S113" i="8" s="1"/>
  <c r="T113" i="8" s="1"/>
  <c r="L125" i="8"/>
  <c r="AG124" i="8"/>
  <c r="N129" i="8"/>
  <c r="S129" i="8"/>
  <c r="T129" i="8" s="1"/>
  <c r="P130" i="8"/>
  <c r="Q122" i="8"/>
  <c r="M123" i="8"/>
  <c r="P123" i="8"/>
  <c r="L114" i="8"/>
  <c r="AG114" i="8" s="1"/>
  <c r="AG113" i="8"/>
  <c r="Q131" i="8"/>
  <c r="P132" i="8"/>
  <c r="M132" i="8"/>
  <c r="L128" i="8"/>
  <c r="AG127" i="8"/>
  <c r="S126" i="8"/>
  <c r="T126" i="8" s="1"/>
  <c r="P127" i="8"/>
  <c r="T159" i="8"/>
  <c r="T152" i="8"/>
  <c r="L13" i="8"/>
  <c r="D24" i="6"/>
  <c r="D90" i="6" s="1"/>
  <c r="H130" i="8"/>
  <c r="J130" i="8"/>
  <c r="H121" i="8"/>
  <c r="J121" i="8"/>
  <c r="N123" i="8" s="1"/>
  <c r="S161" i="8"/>
  <c r="S160" i="8"/>
  <c r="L159" i="8"/>
  <c r="AG159" i="8" s="1"/>
  <c r="AG158" i="8"/>
  <c r="N126" i="8" l="1"/>
  <c r="N127" i="8" s="1"/>
  <c r="N128" i="8" s="1"/>
  <c r="L129" i="8"/>
  <c r="AG129" i="8" s="1"/>
  <c r="AG128" i="8"/>
  <c r="S123" i="8"/>
  <c r="T123" i="8" s="1"/>
  <c r="P124" i="8"/>
  <c r="S132" i="8"/>
  <c r="T132" i="8" s="1"/>
  <c r="P133" i="8"/>
  <c r="N132" i="8"/>
  <c r="N135" i="8"/>
  <c r="N124" i="8"/>
  <c r="N125" i="8" s="1"/>
  <c r="S130" i="8"/>
  <c r="T130" i="8" s="1"/>
  <c r="P131" i="8"/>
  <c r="S131" i="8" s="1"/>
  <c r="T131" i="8" s="1"/>
  <c r="N130" i="8"/>
  <c r="N131" i="8" s="1"/>
  <c r="P128" i="8"/>
  <c r="S128" i="8" s="1"/>
  <c r="T128" i="8" s="1"/>
  <c r="S127" i="8"/>
  <c r="T127" i="8" s="1"/>
  <c r="L126" i="8"/>
  <c r="AG126" i="8" s="1"/>
  <c r="AG125" i="8"/>
  <c r="T161" i="8"/>
  <c r="T160" i="8"/>
  <c r="D93" i="6"/>
  <c r="J93" i="6" s="1"/>
  <c r="J90" i="6"/>
  <c r="L121" i="8"/>
  <c r="L130" i="8"/>
  <c r="N136" i="8" l="1"/>
  <c r="N137" i="8" s="1"/>
  <c r="N133" i="8"/>
  <c r="N134" i="8" s="1"/>
  <c r="P134" i="8"/>
  <c r="S134" i="8" s="1"/>
  <c r="T134" i="8" s="1"/>
  <c r="S133" i="8"/>
  <c r="T133" i="8" s="1"/>
  <c r="P125" i="8"/>
  <c r="S125" i="8" s="1"/>
  <c r="T125" i="8" s="1"/>
  <c r="S124" i="8"/>
  <c r="T124" i="8" s="1"/>
  <c r="L131" i="8"/>
  <c r="AG130" i="8"/>
  <c r="L122" i="8"/>
  <c r="AG121" i="8"/>
  <c r="AQ48" i="8"/>
  <c r="L123" i="8" l="1"/>
  <c r="AG123" i="8" s="1"/>
  <c r="AG122" i="8"/>
  <c r="L132" i="8"/>
  <c r="AG132" i="8" s="1"/>
  <c r="AG131" i="8"/>
  <c r="L49" i="7"/>
  <c r="M49" i="7" s="1"/>
  <c r="I51" i="7"/>
  <c r="K51" i="7" s="1"/>
  <c r="L50" i="7"/>
  <c r="M50" i="7" s="1"/>
  <c r="I50" i="7"/>
  <c r="K50" i="7" s="1"/>
  <c r="AR48" i="8"/>
  <c r="J103" i="8" l="1"/>
  <c r="L103" i="8" s="1"/>
  <c r="H103" i="8"/>
  <c r="J49" i="7"/>
  <c r="K49" i="7" s="1"/>
  <c r="J52" i="7"/>
  <c r="L51" i="7"/>
  <c r="M51" i="7" s="1"/>
  <c r="I52" i="7"/>
  <c r="L104" i="8" l="1"/>
  <c r="AG103" i="8"/>
  <c r="AQ20" i="8"/>
  <c r="AR20" i="8" s="1"/>
  <c r="G103" i="8"/>
  <c r="I103" i="8"/>
  <c r="K52" i="7"/>
  <c r="L105" i="8" l="1"/>
  <c r="AG105" i="8" s="1"/>
  <c r="AG104" i="8"/>
  <c r="K103" i="8"/>
  <c r="K104" i="8" s="1"/>
  <c r="K105" i="8" s="1"/>
  <c r="Z6" i="9"/>
  <c r="AR26" i="8"/>
  <c r="J106" i="8"/>
  <c r="L106" i="8" s="1"/>
  <c r="H106" i="8"/>
  <c r="I106" i="8"/>
  <c r="G106" i="8"/>
  <c r="AQ26" i="8"/>
  <c r="AU26" i="8" s="1"/>
  <c r="AV26" i="8" s="1"/>
  <c r="G100" i="8"/>
  <c r="I100" i="8"/>
  <c r="AA6" i="9"/>
  <c r="L107" i="8" l="1"/>
  <c r="AG106" i="8"/>
  <c r="N108" i="8"/>
  <c r="K100" i="8"/>
  <c r="K101" i="8" s="1"/>
  <c r="K102" i="8" s="1"/>
  <c r="K106" i="8"/>
  <c r="K107" i="8" s="1"/>
  <c r="K108" i="8" s="1"/>
  <c r="AB7" i="9"/>
  <c r="C3" i="9" s="1"/>
  <c r="F3" i="9" s="1"/>
  <c r="AS26" i="8"/>
  <c r="F54" i="7"/>
  <c r="D43" i="8"/>
  <c r="C55" i="7"/>
  <c r="C72" i="7" s="1"/>
  <c r="C58" i="7"/>
  <c r="F58" i="7" s="1"/>
  <c r="C12" i="12"/>
  <c r="F12" i="12" s="1"/>
  <c r="J100" i="8"/>
  <c r="N105" i="8" s="1"/>
  <c r="H100" i="8"/>
  <c r="AB6" i="9"/>
  <c r="D43" i="6"/>
  <c r="F43" i="6" s="1"/>
  <c r="N106" i="8" l="1"/>
  <c r="N107" i="8" s="1"/>
  <c r="N109" i="8"/>
  <c r="N110" i="8" s="1"/>
  <c r="L108" i="8"/>
  <c r="AG108" i="8" s="1"/>
  <c r="AG107" i="8"/>
  <c r="AM79" i="8"/>
  <c r="F72" i="7"/>
  <c r="C73" i="7"/>
  <c r="I73" i="7" s="1"/>
  <c r="K73" i="7" s="1"/>
  <c r="C76" i="7"/>
  <c r="F76" i="7" s="1"/>
  <c r="D25" i="8"/>
  <c r="G25" i="8" s="1"/>
  <c r="D19" i="8"/>
  <c r="L100" i="8"/>
  <c r="AT26" i="8"/>
  <c r="AM22" i="8"/>
  <c r="AO22" i="8" s="1"/>
  <c r="AC7" i="9"/>
  <c r="D3" i="9" s="1"/>
  <c r="G3" i="9" s="1"/>
  <c r="G54" i="7"/>
  <c r="L54" i="7"/>
  <c r="E43" i="8"/>
  <c r="D12" i="12"/>
  <c r="G12" i="12" s="1"/>
  <c r="D58" i="7"/>
  <c r="G58" i="7" s="1"/>
  <c r="AC6" i="9"/>
  <c r="D2" i="9" s="1"/>
  <c r="G2" i="9" s="1"/>
  <c r="C2" i="9"/>
  <c r="F2" i="9" s="1"/>
  <c r="F55" i="7"/>
  <c r="C56" i="7"/>
  <c r="G43" i="8"/>
  <c r="AM49" i="8"/>
  <c r="AO49" i="8" s="1"/>
  <c r="D37" i="8"/>
  <c r="D34" i="8"/>
  <c r="E34" i="8"/>
  <c r="E37" i="8"/>
  <c r="AN49" i="8"/>
  <c r="AP49" i="8" s="1"/>
  <c r="I55" i="7"/>
  <c r="G29" i="8"/>
  <c r="AO88" i="8" l="1"/>
  <c r="V14" i="12"/>
  <c r="L101" i="8"/>
  <c r="AG100" i="8"/>
  <c r="AO79" i="8"/>
  <c r="D70" i="8"/>
  <c r="F73" i="7"/>
  <c r="C74" i="7"/>
  <c r="L72" i="7"/>
  <c r="M72" i="7" s="1"/>
  <c r="E25" i="8"/>
  <c r="H25" i="8" s="1"/>
  <c r="E19" i="8"/>
  <c r="P21" i="8" s="1"/>
  <c r="P22" i="8" s="1"/>
  <c r="H34" i="8"/>
  <c r="G34" i="8"/>
  <c r="I56" i="7"/>
  <c r="AM97" i="8"/>
  <c r="AN22" i="8"/>
  <c r="AP22" i="8" s="1"/>
  <c r="H29" i="8"/>
  <c r="AD7" i="9"/>
  <c r="I19" i="8"/>
  <c r="G19" i="8"/>
  <c r="AA10" i="9"/>
  <c r="J55" i="7"/>
  <c r="K55" i="7" s="1"/>
  <c r="Z10" i="9"/>
  <c r="AR49" i="8"/>
  <c r="AQ49" i="8"/>
  <c r="G37" i="8"/>
  <c r="D40" i="8"/>
  <c r="AD6" i="9"/>
  <c r="H37" i="8"/>
  <c r="J37" i="8"/>
  <c r="L37" i="8" s="1"/>
  <c r="AG37" i="8" s="1"/>
  <c r="E40" i="8"/>
  <c r="M54" i="7"/>
  <c r="D44" i="8"/>
  <c r="J43" i="8"/>
  <c r="L43" i="8" s="1"/>
  <c r="AG43" i="8" s="1"/>
  <c r="H43" i="8"/>
  <c r="F56" i="7"/>
  <c r="AO51" i="8"/>
  <c r="C57" i="7"/>
  <c r="G55" i="7"/>
  <c r="D20" i="9"/>
  <c r="D21" i="9"/>
  <c r="G21" i="9" s="1"/>
  <c r="G13" i="12"/>
  <c r="D56" i="7"/>
  <c r="AM88" i="8" l="1"/>
  <c r="T14" i="12"/>
  <c r="C21" i="12"/>
  <c r="F21" i="12" s="1"/>
  <c r="I74" i="7"/>
  <c r="K74" i="7" s="1"/>
  <c r="C14" i="12"/>
  <c r="V14" i="9"/>
  <c r="AP88" i="8"/>
  <c r="W14" i="12"/>
  <c r="P45" i="8"/>
  <c r="Q44" i="8"/>
  <c r="M45" i="8"/>
  <c r="L102" i="8"/>
  <c r="AG102" i="8" s="1"/>
  <c r="AG101" i="8"/>
  <c r="D58" i="8"/>
  <c r="F74" i="7"/>
  <c r="D73" i="8"/>
  <c r="G70" i="8"/>
  <c r="D71" i="8"/>
  <c r="I70" i="8" s="1"/>
  <c r="AQ79" i="8"/>
  <c r="AR79" i="8"/>
  <c r="C75" i="7"/>
  <c r="L73" i="7"/>
  <c r="M73" i="7" s="1"/>
  <c r="P23" i="8"/>
  <c r="S23" i="8" s="1"/>
  <c r="S22" i="8"/>
  <c r="AR28" i="8"/>
  <c r="AQ28" i="8"/>
  <c r="J56" i="7"/>
  <c r="K56" i="7" s="1"/>
  <c r="AN97" i="8"/>
  <c r="AO97" i="8"/>
  <c r="J19" i="8"/>
  <c r="N21" i="8" s="1"/>
  <c r="N22" i="8" s="1"/>
  <c r="N23" i="8" s="1"/>
  <c r="H19" i="8"/>
  <c r="AR22" i="8"/>
  <c r="AQ22" i="8"/>
  <c r="Q20" i="8"/>
  <c r="M21" i="8"/>
  <c r="D6" i="12"/>
  <c r="G6" i="12" s="1"/>
  <c r="G20" i="9"/>
  <c r="G109" i="8"/>
  <c r="I109" i="8"/>
  <c r="AB11" i="9"/>
  <c r="AC11" i="9" s="1"/>
  <c r="AS49" i="8"/>
  <c r="I57" i="7"/>
  <c r="AB10" i="9"/>
  <c r="AC10" i="9" s="1"/>
  <c r="G56" i="7"/>
  <c r="D57" i="7"/>
  <c r="AP51" i="8"/>
  <c r="H40" i="8"/>
  <c r="J40" i="8"/>
  <c r="L40" i="8" s="1"/>
  <c r="AG40" i="8" s="1"/>
  <c r="AM51" i="8"/>
  <c r="I58" i="7"/>
  <c r="F57" i="7"/>
  <c r="L44" i="8"/>
  <c r="AG44" i="8" s="1"/>
  <c r="L38" i="8"/>
  <c r="AG38" i="8" s="1"/>
  <c r="G44" i="8"/>
  <c r="I43" i="8"/>
  <c r="D41" i="8"/>
  <c r="I40" i="8" s="1"/>
  <c r="G40" i="8"/>
  <c r="J46" i="8"/>
  <c r="L46" i="8" s="1"/>
  <c r="AG46" i="8" s="1"/>
  <c r="H46" i="8"/>
  <c r="E49" i="8"/>
  <c r="L55" i="7"/>
  <c r="M55" i="7" s="1"/>
  <c r="I75" i="7" l="1"/>
  <c r="K75" i="7" s="1"/>
  <c r="X14" i="9"/>
  <c r="AA14" i="9" s="1"/>
  <c r="C13" i="12"/>
  <c r="F13" i="12" s="1"/>
  <c r="AN88" i="8"/>
  <c r="AR88" i="8" s="1"/>
  <c r="D21" i="12"/>
  <c r="G21" i="12" s="1"/>
  <c r="U14" i="12"/>
  <c r="Y14" i="12" s="1"/>
  <c r="Q41" i="8"/>
  <c r="N45" i="8"/>
  <c r="N46" i="8" s="1"/>
  <c r="N47" i="8" s="1"/>
  <c r="P42" i="8"/>
  <c r="Q71" i="8"/>
  <c r="M72" i="8"/>
  <c r="I58" i="8"/>
  <c r="K58" i="8" s="1"/>
  <c r="K59" i="8" s="1"/>
  <c r="K60" i="8" s="1"/>
  <c r="P72" i="8"/>
  <c r="K70" i="8"/>
  <c r="K71" i="8" s="1"/>
  <c r="K72" i="8" s="1"/>
  <c r="M42" i="8"/>
  <c r="S45" i="8"/>
  <c r="T45" i="8" s="1"/>
  <c r="P46" i="8"/>
  <c r="G58" i="8"/>
  <c r="D61" i="8"/>
  <c r="AS80" i="8"/>
  <c r="D80" i="8" s="1"/>
  <c r="G73" i="8"/>
  <c r="D76" i="8"/>
  <c r="F75" i="7"/>
  <c r="D46" i="8"/>
  <c r="D74" i="8"/>
  <c r="Q74" i="8" s="1"/>
  <c r="G71" i="8"/>
  <c r="L74" i="7"/>
  <c r="M74" i="7" s="1"/>
  <c r="I76" i="7"/>
  <c r="K76" i="7" s="1"/>
  <c r="L75" i="7"/>
  <c r="M75" i="7" s="1"/>
  <c r="K43" i="8"/>
  <c r="K44" i="8" s="1"/>
  <c r="K45" i="8" s="1"/>
  <c r="T22" i="8"/>
  <c r="T23" i="8"/>
  <c r="AT49" i="8"/>
  <c r="E32" i="8" s="1"/>
  <c r="D32" i="8"/>
  <c r="AS29" i="8"/>
  <c r="D28" i="8" s="1"/>
  <c r="K109" i="8"/>
  <c r="K110" i="8" s="1"/>
  <c r="K111" i="8" s="1"/>
  <c r="L56" i="7"/>
  <c r="M56" i="7" s="1"/>
  <c r="AP97" i="8"/>
  <c r="AS23" i="8"/>
  <c r="D26" i="8" s="1"/>
  <c r="J109" i="8"/>
  <c r="L109" i="8" s="1"/>
  <c r="H109" i="8"/>
  <c r="L57" i="7"/>
  <c r="M57" i="7" s="1"/>
  <c r="AD11" i="9"/>
  <c r="L47" i="8"/>
  <c r="AG47" i="8" s="1"/>
  <c r="Z14" i="9"/>
  <c r="E61" i="8"/>
  <c r="H58" i="8"/>
  <c r="L41" i="8"/>
  <c r="AG41" i="8" s="1"/>
  <c r="AN51" i="8"/>
  <c r="AQ51" i="8" s="1"/>
  <c r="J58" i="7"/>
  <c r="K58" i="7" s="1"/>
  <c r="G57" i="7"/>
  <c r="E53" i="8"/>
  <c r="H53" i="8" s="1"/>
  <c r="H49" i="8"/>
  <c r="E52" i="8"/>
  <c r="J49" i="8"/>
  <c r="L49" i="8" s="1"/>
  <c r="AG49" i="8" s="1"/>
  <c r="L39" i="8"/>
  <c r="AG39" i="8" s="1"/>
  <c r="J57" i="7"/>
  <c r="K57" i="7" s="1"/>
  <c r="K40" i="8"/>
  <c r="K41" i="8" s="1"/>
  <c r="K42" i="8" s="1"/>
  <c r="AD10" i="9"/>
  <c r="D38" i="8"/>
  <c r="G41" i="8"/>
  <c r="L45" i="8"/>
  <c r="AG45" i="8" s="1"/>
  <c r="X14" i="12" l="1"/>
  <c r="AA15" i="12" s="1"/>
  <c r="D22" i="12" s="1"/>
  <c r="G22" i="12" s="1"/>
  <c r="AQ88" i="8"/>
  <c r="AS89" i="8" s="1"/>
  <c r="D89" i="8" s="1"/>
  <c r="N111" i="8"/>
  <c r="D64" i="8"/>
  <c r="G64" i="8" s="1"/>
  <c r="S72" i="8"/>
  <c r="T72" i="8" s="1"/>
  <c r="P73" i="8"/>
  <c r="M75" i="8"/>
  <c r="P75" i="8"/>
  <c r="L110" i="8"/>
  <c r="AG109" i="8"/>
  <c r="P47" i="8"/>
  <c r="S47" i="8" s="1"/>
  <c r="T47" i="8" s="1"/>
  <c r="S46" i="8"/>
  <c r="T46" i="8" s="1"/>
  <c r="N114" i="8"/>
  <c r="S42" i="8"/>
  <c r="T42" i="8" s="1"/>
  <c r="P43" i="8"/>
  <c r="G61" i="8"/>
  <c r="AT80" i="8"/>
  <c r="E80" i="8" s="1"/>
  <c r="Q80" i="8" s="1"/>
  <c r="I61" i="8"/>
  <c r="D65" i="8"/>
  <c r="G65" i="8" s="1"/>
  <c r="I73" i="8"/>
  <c r="N75" i="8" s="1"/>
  <c r="G76" i="8"/>
  <c r="I76" i="8"/>
  <c r="D49" i="8"/>
  <c r="G46" i="8"/>
  <c r="D47" i="8"/>
  <c r="M48" i="8" s="1"/>
  <c r="E77" i="8"/>
  <c r="Q77" i="8" s="1"/>
  <c r="G74" i="8"/>
  <c r="D83" i="8"/>
  <c r="I79" i="8"/>
  <c r="G80" i="8"/>
  <c r="P33" i="8"/>
  <c r="M33" i="8"/>
  <c r="E35" i="8"/>
  <c r="Q32" i="8"/>
  <c r="Q38" i="8"/>
  <c r="P39" i="8"/>
  <c r="P40" i="8" s="1"/>
  <c r="M39" i="8"/>
  <c r="G28" i="8"/>
  <c r="I28" i="8"/>
  <c r="G32" i="8"/>
  <c r="I31" i="8"/>
  <c r="H32" i="8"/>
  <c r="J31" i="8"/>
  <c r="L31" i="8" s="1"/>
  <c r="AG31" i="8" s="1"/>
  <c r="AT29" i="8"/>
  <c r="E28" i="8" s="1"/>
  <c r="P30" i="8" s="1"/>
  <c r="G26" i="8"/>
  <c r="I25" i="8"/>
  <c r="AQ97" i="8"/>
  <c r="AR97" i="8"/>
  <c r="AT23" i="8"/>
  <c r="E26" i="8" s="1"/>
  <c r="Q26" i="8" s="1"/>
  <c r="D35" i="8"/>
  <c r="AB14" i="9"/>
  <c r="AB15" i="9"/>
  <c r="G38" i="8"/>
  <c r="I37" i="8"/>
  <c r="N42" i="8" s="1"/>
  <c r="L42" i="8"/>
  <c r="AG42" i="8" s="1"/>
  <c r="H61" i="8"/>
  <c r="E64" i="8"/>
  <c r="AR51" i="8"/>
  <c r="AS52" i="8" s="1"/>
  <c r="L50" i="8"/>
  <c r="AG50" i="8" s="1"/>
  <c r="J52" i="8"/>
  <c r="L52" i="8" s="1"/>
  <c r="AG52" i="8" s="1"/>
  <c r="H52" i="8"/>
  <c r="E55" i="8"/>
  <c r="L48" i="8"/>
  <c r="AG48" i="8" s="1"/>
  <c r="AT89" i="8" l="1"/>
  <c r="E89" i="8" s="1"/>
  <c r="E86" i="8" s="1"/>
  <c r="AB15" i="12"/>
  <c r="D67" i="8"/>
  <c r="G67" i="8" s="1"/>
  <c r="P78" i="8"/>
  <c r="P79" i="8" s="1"/>
  <c r="Q47" i="8"/>
  <c r="P48" i="8"/>
  <c r="S48" i="8" s="1"/>
  <c r="T48" i="8" s="1"/>
  <c r="P81" i="8"/>
  <c r="S81" i="8" s="1"/>
  <c r="T81" i="8" s="1"/>
  <c r="N43" i="8"/>
  <c r="N44" i="8" s="1"/>
  <c r="P74" i="8"/>
  <c r="S74" i="8" s="1"/>
  <c r="T74" i="8" s="1"/>
  <c r="S73" i="8"/>
  <c r="T73" i="8" s="1"/>
  <c r="P44" i="8"/>
  <c r="S44" i="8" s="1"/>
  <c r="T44" i="8" s="1"/>
  <c r="S43" i="8"/>
  <c r="T43" i="8" s="1"/>
  <c r="S40" i="8"/>
  <c r="T40" i="8" s="1"/>
  <c r="P41" i="8"/>
  <c r="S41" i="8" s="1"/>
  <c r="T41" i="8" s="1"/>
  <c r="N76" i="8"/>
  <c r="N77" i="8" s="1"/>
  <c r="N115" i="8"/>
  <c r="N116" i="8" s="1"/>
  <c r="K61" i="8"/>
  <c r="K62" i="8" s="1"/>
  <c r="K63" i="8" s="1"/>
  <c r="M78" i="8"/>
  <c r="L111" i="8"/>
  <c r="AG111" i="8" s="1"/>
  <c r="AG110" i="8"/>
  <c r="N112" i="8"/>
  <c r="N113" i="8" s="1"/>
  <c r="M66" i="8"/>
  <c r="P66" i="8"/>
  <c r="Q65" i="8"/>
  <c r="S75" i="8"/>
  <c r="T75" i="8" s="1"/>
  <c r="P76" i="8"/>
  <c r="M81" i="8"/>
  <c r="H89" i="8"/>
  <c r="D86" i="8"/>
  <c r="G89" i="8"/>
  <c r="I88" i="8"/>
  <c r="J79" i="8"/>
  <c r="L79" i="8" s="1"/>
  <c r="AG79" i="8" s="1"/>
  <c r="H80" i="8"/>
  <c r="E83" i="8"/>
  <c r="Q83" i="8" s="1"/>
  <c r="I64" i="8"/>
  <c r="G83" i="8"/>
  <c r="I82" i="8"/>
  <c r="I46" i="8"/>
  <c r="N48" i="8" s="1"/>
  <c r="G47" i="8"/>
  <c r="D50" i="8"/>
  <c r="Q50" i="8" s="1"/>
  <c r="K79" i="8"/>
  <c r="K80" i="8" s="1"/>
  <c r="K81" i="8" s="1"/>
  <c r="H77" i="8"/>
  <c r="J76" i="8"/>
  <c r="L76" i="8" s="1"/>
  <c r="AG76" i="8" s="1"/>
  <c r="K73" i="8"/>
  <c r="K74" i="8" s="1"/>
  <c r="K75" i="8" s="1"/>
  <c r="K76" i="8"/>
  <c r="K77" i="8" s="1"/>
  <c r="K78" i="8" s="1"/>
  <c r="D52" i="8"/>
  <c r="G49" i="8"/>
  <c r="Q35" i="8"/>
  <c r="J34" i="8"/>
  <c r="L34" i="8" s="1"/>
  <c r="AG34" i="8" s="1"/>
  <c r="S39" i="8"/>
  <c r="T39" i="8" s="1"/>
  <c r="H35" i="8"/>
  <c r="G35" i="8"/>
  <c r="P36" i="8"/>
  <c r="M36" i="8"/>
  <c r="S33" i="8"/>
  <c r="P34" i="8"/>
  <c r="H11" i="8"/>
  <c r="S30" i="8"/>
  <c r="P31" i="8"/>
  <c r="K28" i="8"/>
  <c r="K29" i="8" s="1"/>
  <c r="K30" i="8" s="1"/>
  <c r="Q29" i="8"/>
  <c r="H28" i="8"/>
  <c r="J28" i="8"/>
  <c r="L28" i="8" s="1"/>
  <c r="M30" i="8"/>
  <c r="L32" i="8"/>
  <c r="AG32" i="8" s="1"/>
  <c r="M27" i="8"/>
  <c r="K25" i="8"/>
  <c r="K26" i="8" s="1"/>
  <c r="K27" i="8" s="1"/>
  <c r="P27" i="8"/>
  <c r="H26" i="8"/>
  <c r="J25" i="8"/>
  <c r="L25" i="8" s="1"/>
  <c r="AG25" i="8" s="1"/>
  <c r="AS98" i="8"/>
  <c r="K31" i="8"/>
  <c r="K32" i="8" s="1"/>
  <c r="K33" i="8" s="1"/>
  <c r="E23" i="8"/>
  <c r="D23" i="8"/>
  <c r="I34" i="8"/>
  <c r="AC15" i="9"/>
  <c r="D9" i="9" s="1"/>
  <c r="G9" i="9" s="1"/>
  <c r="C9" i="9"/>
  <c r="F9" i="9" s="1"/>
  <c r="C8" i="9"/>
  <c r="F8" i="9" s="1"/>
  <c r="AC14" i="9"/>
  <c r="D8" i="9" s="1"/>
  <c r="G8" i="9" s="1"/>
  <c r="L53" i="8"/>
  <c r="AG53" i="8" s="1"/>
  <c r="AT52" i="8"/>
  <c r="E91" i="8" s="1"/>
  <c r="D91" i="8"/>
  <c r="L51" i="8"/>
  <c r="AG51" i="8" s="1"/>
  <c r="E67" i="8"/>
  <c r="H64" i="8"/>
  <c r="J64" i="8"/>
  <c r="L64" i="8" s="1"/>
  <c r="K37" i="8"/>
  <c r="K38" i="8" s="1"/>
  <c r="K39" i="8" s="1"/>
  <c r="H55" i="8"/>
  <c r="M90" i="8" l="1"/>
  <c r="P90" i="8"/>
  <c r="S90" i="8" s="1"/>
  <c r="T90" i="8" s="1"/>
  <c r="Q89" i="8"/>
  <c r="J88" i="8"/>
  <c r="L88" i="8" s="1"/>
  <c r="L89" i="8" s="1"/>
  <c r="S78" i="8"/>
  <c r="T78" i="8" s="1"/>
  <c r="P49" i="8"/>
  <c r="P50" i="8" s="1"/>
  <c r="S50" i="8" s="1"/>
  <c r="T50" i="8" s="1"/>
  <c r="M51" i="8"/>
  <c r="Q86" i="8"/>
  <c r="L65" i="8"/>
  <c r="AG64" i="8"/>
  <c r="P82" i="8"/>
  <c r="P83" i="8" s="1"/>
  <c r="S83" i="8" s="1"/>
  <c r="T83" i="8" s="1"/>
  <c r="Q92" i="8"/>
  <c r="P87" i="8"/>
  <c r="M87" i="8"/>
  <c r="M84" i="8"/>
  <c r="P51" i="8"/>
  <c r="P77" i="8"/>
  <c r="S77" i="8" s="1"/>
  <c r="T77" i="8" s="1"/>
  <c r="S76" i="8"/>
  <c r="T76" i="8" s="1"/>
  <c r="M93" i="8"/>
  <c r="P93" i="8"/>
  <c r="K64" i="8"/>
  <c r="K65" i="8" s="1"/>
  <c r="K66" i="8" s="1"/>
  <c r="S79" i="8"/>
  <c r="T79" i="8" s="1"/>
  <c r="P80" i="8"/>
  <c r="S80" i="8" s="1"/>
  <c r="T80" i="8" s="1"/>
  <c r="S66" i="8"/>
  <c r="T66" i="8" s="1"/>
  <c r="P67" i="8"/>
  <c r="N78" i="8"/>
  <c r="Q53" i="8"/>
  <c r="P54" i="8"/>
  <c r="M54" i="8"/>
  <c r="N49" i="8"/>
  <c r="N50" i="8" s="1"/>
  <c r="P84" i="8"/>
  <c r="N81" i="8"/>
  <c r="I85" i="8"/>
  <c r="G86" i="8"/>
  <c r="H86" i="8"/>
  <c r="J85" i="8"/>
  <c r="L85" i="8" s="1"/>
  <c r="AG85" i="8" s="1"/>
  <c r="K88" i="8"/>
  <c r="K89" i="8" s="1"/>
  <c r="K90" i="8" s="1"/>
  <c r="L80" i="8"/>
  <c r="AG80" i="8" s="1"/>
  <c r="J82" i="8"/>
  <c r="L82" i="8" s="1"/>
  <c r="H83" i="8"/>
  <c r="L77" i="8"/>
  <c r="AG77" i="8" s="1"/>
  <c r="K46" i="8"/>
  <c r="K47" i="8" s="1"/>
  <c r="K48" i="8" s="1"/>
  <c r="K82" i="8"/>
  <c r="K83" i="8" s="1"/>
  <c r="K84" i="8" s="1"/>
  <c r="D55" i="8"/>
  <c r="I52" i="8"/>
  <c r="G52" i="8"/>
  <c r="G50" i="8"/>
  <c r="I49" i="8"/>
  <c r="N51" i="8" s="1"/>
  <c r="N52" i="8" s="1"/>
  <c r="N53" i="8" s="1"/>
  <c r="O11" i="8"/>
  <c r="T33" i="8"/>
  <c r="N36" i="8"/>
  <c r="N37" i="8" s="1"/>
  <c r="N38" i="8" s="1"/>
  <c r="L35" i="8"/>
  <c r="AG35" i="8" s="1"/>
  <c r="P37" i="8"/>
  <c r="S36" i="8"/>
  <c r="N39" i="8"/>
  <c r="N40" i="8" s="1"/>
  <c r="N41" i="8" s="1"/>
  <c r="P35" i="8"/>
  <c r="S35" i="8" s="1"/>
  <c r="S34" i="8"/>
  <c r="N33" i="8"/>
  <c r="N34" i="8" s="1"/>
  <c r="N35" i="8" s="1"/>
  <c r="S27" i="8"/>
  <c r="P28" i="8"/>
  <c r="N30" i="8"/>
  <c r="N31" i="8" s="1"/>
  <c r="N32" i="8" s="1"/>
  <c r="P32" i="8"/>
  <c r="S32" i="8" s="1"/>
  <c r="S31" i="8"/>
  <c r="T30" i="8"/>
  <c r="AG28" i="8"/>
  <c r="L29" i="8"/>
  <c r="L33" i="8"/>
  <c r="AG33" i="8" s="1"/>
  <c r="D22" i="6"/>
  <c r="D35" i="6" s="1"/>
  <c r="L26" i="8"/>
  <c r="AG26" i="8" s="1"/>
  <c r="AT98" i="8"/>
  <c r="E97" i="8" s="1"/>
  <c r="D97" i="8"/>
  <c r="G23" i="8"/>
  <c r="AM19" i="8"/>
  <c r="AO19" i="8" s="1"/>
  <c r="H23" i="8"/>
  <c r="AN19" i="8"/>
  <c r="AP19" i="8" s="1"/>
  <c r="K34" i="8"/>
  <c r="K35" i="8" s="1"/>
  <c r="K36" i="8" s="1"/>
  <c r="AD15" i="9"/>
  <c r="L54" i="8"/>
  <c r="AG54" i="8" s="1"/>
  <c r="T4" i="12"/>
  <c r="V10" i="12"/>
  <c r="W10" i="12"/>
  <c r="U4" i="12"/>
  <c r="AD14" i="9"/>
  <c r="I91" i="8"/>
  <c r="D94" i="8"/>
  <c r="G91" i="8"/>
  <c r="W4" i="12"/>
  <c r="U10" i="12"/>
  <c r="H91" i="8"/>
  <c r="E94" i="8"/>
  <c r="J91" i="8"/>
  <c r="L91" i="8" s="1"/>
  <c r="V4" i="12"/>
  <c r="T10" i="12"/>
  <c r="D68" i="8"/>
  <c r="H67" i="8"/>
  <c r="J67" i="8"/>
  <c r="L67" i="8" s="1"/>
  <c r="AG88" i="8" l="1"/>
  <c r="P91" i="8"/>
  <c r="S91" i="8" s="1"/>
  <c r="T91" i="8" s="1"/>
  <c r="S49" i="8"/>
  <c r="T49" i="8" s="1"/>
  <c r="N93" i="8"/>
  <c r="N94" i="8" s="1"/>
  <c r="N95" i="8" s="1"/>
  <c r="S82" i="8"/>
  <c r="T82" i="8" s="1"/>
  <c r="N90" i="8"/>
  <c r="N91" i="8" s="1"/>
  <c r="N92" i="8" s="1"/>
  <c r="Q98" i="8"/>
  <c r="Q95" i="8"/>
  <c r="L68" i="8"/>
  <c r="AG67" i="8"/>
  <c r="L66" i="8"/>
  <c r="AG66" i="8" s="1"/>
  <c r="AG65" i="8"/>
  <c r="M99" i="8"/>
  <c r="P99" i="8"/>
  <c r="L83" i="8"/>
  <c r="AG83" i="8" s="1"/>
  <c r="AG82" i="8"/>
  <c r="S84" i="8"/>
  <c r="T84" i="8" s="1"/>
  <c r="P85" i="8"/>
  <c r="N82" i="8"/>
  <c r="N83" i="8" s="1"/>
  <c r="M96" i="8"/>
  <c r="P96" i="8"/>
  <c r="N54" i="8"/>
  <c r="S67" i="8"/>
  <c r="T67" i="8" s="1"/>
  <c r="P68" i="8"/>
  <c r="S68" i="8" s="1"/>
  <c r="T68" i="8" s="1"/>
  <c r="S51" i="8"/>
  <c r="T51" i="8" s="1"/>
  <c r="P52" i="8"/>
  <c r="L90" i="8"/>
  <c r="AG90" i="8" s="1"/>
  <c r="AG89" i="8"/>
  <c r="P69" i="8"/>
  <c r="Q68" i="8"/>
  <c r="M69" i="8"/>
  <c r="N79" i="8"/>
  <c r="N80" i="8" s="1"/>
  <c r="L92" i="8"/>
  <c r="AG91" i="8"/>
  <c r="S87" i="8"/>
  <c r="T87" i="8" s="1"/>
  <c r="P88" i="8"/>
  <c r="K85" i="8"/>
  <c r="K86" i="8" s="1"/>
  <c r="K87" i="8" s="1"/>
  <c r="N87" i="8"/>
  <c r="S54" i="8"/>
  <c r="T54" i="8" s="1"/>
  <c r="P55" i="8"/>
  <c r="S93" i="8"/>
  <c r="T93" i="8" s="1"/>
  <c r="P94" i="8"/>
  <c r="N84" i="8"/>
  <c r="L86" i="8"/>
  <c r="AG86" i="8" s="1"/>
  <c r="L81" i="8"/>
  <c r="AG81" i="8" s="1"/>
  <c r="L78" i="8"/>
  <c r="AG78" i="8" s="1"/>
  <c r="E59" i="8"/>
  <c r="I55" i="8"/>
  <c r="G55" i="8"/>
  <c r="E56" i="8"/>
  <c r="Q56" i="8" s="1"/>
  <c r="K49" i="8"/>
  <c r="K50" i="8" s="1"/>
  <c r="K51" i="8" s="1"/>
  <c r="K52" i="8"/>
  <c r="K53" i="8" s="1"/>
  <c r="K54" i="8" s="1"/>
  <c r="T34" i="8"/>
  <c r="T32" i="8"/>
  <c r="T35" i="8"/>
  <c r="T36" i="8"/>
  <c r="T116" i="7"/>
  <c r="D82" i="6"/>
  <c r="L36" i="8"/>
  <c r="AG36" i="8" s="1"/>
  <c r="P38" i="8"/>
  <c r="S38" i="8" s="1"/>
  <c r="S37" i="8"/>
  <c r="T31" i="8"/>
  <c r="P29" i="8"/>
  <c r="S29" i="8" s="1"/>
  <c r="S28" i="8"/>
  <c r="AG29" i="8"/>
  <c r="L30" i="8"/>
  <c r="AG30" i="8" s="1"/>
  <c r="T27" i="8"/>
  <c r="L11" i="8"/>
  <c r="L27" i="8"/>
  <c r="AG27" i="8" s="1"/>
  <c r="K91" i="8"/>
  <c r="K92" i="8" s="1"/>
  <c r="K93" i="8" s="1"/>
  <c r="I97" i="8"/>
  <c r="G97" i="8"/>
  <c r="H97" i="8"/>
  <c r="J97" i="8"/>
  <c r="L97" i="8" s="1"/>
  <c r="AQ19" i="8"/>
  <c r="AR19" i="8"/>
  <c r="X4" i="12"/>
  <c r="Y4" i="12"/>
  <c r="H94" i="8"/>
  <c r="J94" i="8"/>
  <c r="L94" i="8" s="1"/>
  <c r="G68" i="8"/>
  <c r="I67" i="8"/>
  <c r="G94" i="8"/>
  <c r="I94" i="8"/>
  <c r="X10" i="12"/>
  <c r="Y10" i="12"/>
  <c r="P92" i="8" l="1"/>
  <c r="S92" i="8" s="1"/>
  <c r="T92" i="8" s="1"/>
  <c r="L84" i="8"/>
  <c r="AG84" i="8" s="1"/>
  <c r="M57" i="8"/>
  <c r="L69" i="8"/>
  <c r="AG69" i="8" s="1"/>
  <c r="AG68" i="8"/>
  <c r="P57" i="8"/>
  <c r="S57" i="8" s="1"/>
  <c r="T57" i="8" s="1"/>
  <c r="P95" i="8"/>
  <c r="S95" i="8" s="1"/>
  <c r="T95" i="8" s="1"/>
  <c r="S94" i="8"/>
  <c r="T94" i="8" s="1"/>
  <c r="S69" i="8"/>
  <c r="T69" i="8" s="1"/>
  <c r="P70" i="8"/>
  <c r="K55" i="8"/>
  <c r="K56" i="8" s="1"/>
  <c r="K57" i="8" s="1"/>
  <c r="L93" i="8"/>
  <c r="AG93" i="8" s="1"/>
  <c r="AG92" i="8"/>
  <c r="N55" i="8"/>
  <c r="N56" i="8" s="1"/>
  <c r="Q59" i="8"/>
  <c r="P60" i="8"/>
  <c r="M60" i="8"/>
  <c r="P56" i="8"/>
  <c r="S56" i="8" s="1"/>
  <c r="T56" i="8" s="1"/>
  <c r="S55" i="8"/>
  <c r="T55" i="8" s="1"/>
  <c r="S96" i="8"/>
  <c r="T96" i="8" s="1"/>
  <c r="P97" i="8"/>
  <c r="P86" i="8"/>
  <c r="S86" i="8" s="1"/>
  <c r="T86" i="8" s="1"/>
  <c r="S85" i="8"/>
  <c r="T85" i="8" s="1"/>
  <c r="N99" i="8"/>
  <c r="N102" i="8"/>
  <c r="N88" i="8"/>
  <c r="N89" i="8" s="1"/>
  <c r="N96" i="8"/>
  <c r="P53" i="8"/>
  <c r="S53" i="8" s="1"/>
  <c r="T53" i="8" s="1"/>
  <c r="S52" i="8"/>
  <c r="T52" i="8" s="1"/>
  <c r="S99" i="8"/>
  <c r="T99" i="8" s="1"/>
  <c r="P100" i="8"/>
  <c r="L95" i="8"/>
  <c r="AG94" i="8"/>
  <c r="S88" i="8"/>
  <c r="T88" i="8" s="1"/>
  <c r="P89" i="8"/>
  <c r="S89" i="8" s="1"/>
  <c r="T89" i="8" s="1"/>
  <c r="N69" i="8"/>
  <c r="N72" i="8"/>
  <c r="L98" i="8"/>
  <c r="AG97" i="8"/>
  <c r="N85" i="8"/>
  <c r="N86" i="8" s="1"/>
  <c r="L87" i="8"/>
  <c r="AG87" i="8" s="1"/>
  <c r="J55" i="8"/>
  <c r="N57" i="8" s="1"/>
  <c r="H56" i="8"/>
  <c r="H59" i="8"/>
  <c r="J58" i="8"/>
  <c r="E62" i="8"/>
  <c r="T37" i="8"/>
  <c r="T38" i="8"/>
  <c r="J82" i="6"/>
  <c r="D85" i="6"/>
  <c r="J85" i="6" s="1"/>
  <c r="T29" i="8"/>
  <c r="T28" i="8"/>
  <c r="K67" i="8"/>
  <c r="K68" i="8" s="1"/>
  <c r="K69" i="8" s="1"/>
  <c r="K94" i="8"/>
  <c r="K95" i="8" s="1"/>
  <c r="K96" i="8" s="1"/>
  <c r="K97" i="8"/>
  <c r="K98" i="8" s="1"/>
  <c r="K99" i="8" s="1"/>
  <c r="AS20" i="8"/>
  <c r="D22" i="8" s="1"/>
  <c r="Z11" i="12"/>
  <c r="AA11" i="12" s="1"/>
  <c r="G14" i="12" s="1"/>
  <c r="Z5" i="12"/>
  <c r="AA5" i="12" s="1"/>
  <c r="P58" i="8" l="1"/>
  <c r="S58" i="8" s="1"/>
  <c r="T58" i="8" s="1"/>
  <c r="N60" i="8"/>
  <c r="N61" i="8" s="1"/>
  <c r="N62" i="8" s="1"/>
  <c r="L96" i="8"/>
  <c r="AG96" i="8" s="1"/>
  <c r="AG95" i="8"/>
  <c r="N103" i="8"/>
  <c r="N104" i="8" s="1"/>
  <c r="Q62" i="8"/>
  <c r="M63" i="8"/>
  <c r="P63" i="8"/>
  <c r="P101" i="8"/>
  <c r="S101" i="8" s="1"/>
  <c r="T101" i="8" s="1"/>
  <c r="S100" i="8"/>
  <c r="T100" i="8" s="1"/>
  <c r="N100" i="8"/>
  <c r="N101" i="8" s="1"/>
  <c r="N70" i="8"/>
  <c r="N71" i="8" s="1"/>
  <c r="L99" i="8"/>
  <c r="AG99" i="8" s="1"/>
  <c r="AG98" i="8"/>
  <c r="N58" i="8"/>
  <c r="N59" i="8" s="1"/>
  <c r="N73" i="8"/>
  <c r="N74" i="8" s="1"/>
  <c r="S60" i="8"/>
  <c r="T60" i="8" s="1"/>
  <c r="P61" i="8"/>
  <c r="N97" i="8"/>
  <c r="N98" i="8" s="1"/>
  <c r="S70" i="8"/>
  <c r="T70" i="8" s="1"/>
  <c r="P71" i="8"/>
  <c r="S71" i="8" s="1"/>
  <c r="T71" i="8" s="1"/>
  <c r="P98" i="8"/>
  <c r="S98" i="8" s="1"/>
  <c r="T98" i="8" s="1"/>
  <c r="S97" i="8"/>
  <c r="T97" i="8" s="1"/>
  <c r="L55" i="8"/>
  <c r="AG55" i="8" s="1"/>
  <c r="J61" i="8"/>
  <c r="H62" i="8"/>
  <c r="L58" i="8"/>
  <c r="AG58" i="8" s="1"/>
  <c r="D9" i="12"/>
  <c r="G9" i="12" s="1"/>
  <c r="AT20" i="8"/>
  <c r="E22" i="8" s="1"/>
  <c r="Q23" i="8" s="1"/>
  <c r="I22" i="8"/>
  <c r="G22" i="8"/>
  <c r="F14" i="12"/>
  <c r="AB5" i="12"/>
  <c r="AB11" i="12"/>
  <c r="P59" i="8" l="1"/>
  <c r="S59" i="8" s="1"/>
  <c r="T59" i="8" s="1"/>
  <c r="N63" i="8"/>
  <c r="N66" i="8"/>
  <c r="P62" i="8"/>
  <c r="S62" i="8" s="1"/>
  <c r="T62" i="8" s="1"/>
  <c r="S61" i="8"/>
  <c r="T61" i="8" s="1"/>
  <c r="S63" i="8"/>
  <c r="T63" i="8" s="1"/>
  <c r="P64" i="8"/>
  <c r="L61" i="8"/>
  <c r="AG61" i="8" s="1"/>
  <c r="L59" i="8"/>
  <c r="AG59" i="8" s="1"/>
  <c r="L56" i="8"/>
  <c r="AG56" i="8" s="1"/>
  <c r="C9" i="12"/>
  <c r="F9" i="12" s="1"/>
  <c r="T107" i="7"/>
  <c r="S110" i="7" s="1"/>
  <c r="H22" i="8"/>
  <c r="P24" i="8"/>
  <c r="J22" i="8"/>
  <c r="L22" i="8" s="1"/>
  <c r="M24" i="8"/>
  <c r="K22" i="8"/>
  <c r="K23" i="8" s="1"/>
  <c r="K24" i="8" s="1"/>
  <c r="P65" i="8" l="1"/>
  <c r="S65" i="8" s="1"/>
  <c r="T65" i="8" s="1"/>
  <c r="S64" i="8"/>
  <c r="T64" i="8" s="1"/>
  <c r="N67" i="8"/>
  <c r="N68" i="8" s="1"/>
  <c r="N64" i="8"/>
  <c r="N65" i="8" s="1"/>
  <c r="L60" i="8"/>
  <c r="AG60" i="8" s="1"/>
  <c r="L57" i="8"/>
  <c r="AG57" i="8" s="1"/>
  <c r="L62" i="8"/>
  <c r="AG62" i="8" s="1"/>
  <c r="S24" i="8"/>
  <c r="L23" i="8"/>
  <c r="AG23" i="8" s="1"/>
  <c r="AG22" i="8"/>
  <c r="N27" i="8"/>
  <c r="N28" i="8" s="1"/>
  <c r="N29" i="8" s="1"/>
  <c r="P25" i="8"/>
  <c r="S25" i="8" s="1"/>
  <c r="H10" i="8"/>
  <c r="N24" i="8"/>
  <c r="L63" i="8" l="1"/>
  <c r="AG63" i="8" s="1"/>
  <c r="H56" i="6"/>
  <c r="O10" i="8"/>
  <c r="T24" i="8"/>
  <c r="N25" i="8"/>
  <c r="N26" i="8" s="1"/>
  <c r="AJ24" i="8"/>
  <c r="AJ27" i="8" s="1"/>
  <c r="AJ30" i="8" s="1"/>
  <c r="AJ33" i="8" s="1"/>
  <c r="AJ36" i="8" s="1"/>
  <c r="AJ39" i="8" s="1"/>
  <c r="AJ42" i="8" s="1"/>
  <c r="AJ45" i="8" s="1"/>
  <c r="AJ48" i="8" s="1"/>
  <c r="AJ51" i="8" s="1"/>
  <c r="AJ54" i="8" s="1"/>
  <c r="AJ57" i="8" s="1"/>
  <c r="AJ60" i="8" s="1"/>
  <c r="AJ63" i="8" s="1"/>
  <c r="AJ66" i="8" s="1"/>
  <c r="AJ69" i="8" s="1"/>
  <c r="AJ72" i="8" s="1"/>
  <c r="AJ75" i="8" s="1"/>
  <c r="AJ78" i="8" s="1"/>
  <c r="AJ81" i="8" s="1"/>
  <c r="AJ84" i="8" s="1"/>
  <c r="AJ87" i="8" s="1"/>
  <c r="AJ90" i="8" s="1"/>
  <c r="AJ93" i="8" s="1"/>
  <c r="AJ96" i="8" s="1"/>
  <c r="AJ99" i="8" s="1"/>
  <c r="AJ102" i="8" s="1"/>
  <c r="AJ105" i="8" s="1"/>
  <c r="AJ108" i="8" s="1"/>
  <c r="AJ111" i="8" s="1"/>
  <c r="AJ114" i="8" s="1"/>
  <c r="AJ117" i="8" s="1"/>
  <c r="AJ120" i="8" s="1"/>
  <c r="AJ123" i="8" s="1"/>
  <c r="AJ126" i="8" s="1"/>
  <c r="AJ129" i="8" s="1"/>
  <c r="AJ132" i="8" s="1"/>
  <c r="AJ135" i="8" s="1"/>
  <c r="AJ138" i="8" s="1"/>
  <c r="T25" i="8"/>
  <c r="L24" i="8"/>
  <c r="AG24" i="8" s="1"/>
  <c r="P26" i="8"/>
  <c r="S26" i="8" s="1"/>
  <c r="L10" i="8"/>
  <c r="O24" i="8"/>
  <c r="AH25" i="8" l="1"/>
  <c r="AH26" i="8" s="1"/>
  <c r="T26" i="8"/>
  <c r="O27" i="8"/>
  <c r="O25" i="8"/>
  <c r="I10" i="8"/>
  <c r="O26" i="8" l="1"/>
  <c r="AH28" i="8"/>
  <c r="AH29" i="8" s="1"/>
  <c r="O28" i="8"/>
  <c r="O30" i="8"/>
  <c r="I11" i="8" l="1"/>
  <c r="O31" i="8"/>
  <c r="AH31" i="8"/>
  <c r="AH32" i="8" s="1"/>
  <c r="O33" i="8"/>
  <c r="O29" i="8"/>
  <c r="AH34" i="8" l="1"/>
  <c r="AH35" i="8" s="1"/>
  <c r="O34" i="8"/>
  <c r="O36" i="8"/>
  <c r="O32" i="8"/>
  <c r="AJ141" i="8"/>
  <c r="AJ144" i="8" s="1"/>
  <c r="AJ147" i="8" s="1"/>
  <c r="AJ150" i="8" s="1"/>
  <c r="AJ153" i="8" s="1"/>
  <c r="AJ156" i="8" s="1"/>
  <c r="AJ159" i="8" s="1"/>
  <c r="AJ162" i="8" s="1"/>
  <c r="AJ165" i="8" s="1"/>
  <c r="AH37" i="8" l="1"/>
  <c r="AH38" i="8" s="1"/>
  <c r="O39" i="8"/>
  <c r="O37" i="8"/>
  <c r="O35" i="8"/>
  <c r="M11" i="8"/>
  <c r="K11" i="8"/>
  <c r="D26" i="6" s="1"/>
  <c r="O40" i="8" l="1"/>
  <c r="O41" i="8" s="1"/>
  <c r="AH40" i="8"/>
  <c r="AH41" i="8" s="1"/>
  <c r="O42" i="8"/>
  <c r="V116" i="7"/>
  <c r="D83" i="6"/>
  <c r="J83" i="6" s="1"/>
  <c r="O38" i="8"/>
  <c r="AH43" i="8" l="1"/>
  <c r="AH44" i="8" s="1"/>
  <c r="O43" i="8"/>
  <c r="O44" i="8" s="1"/>
  <c r="O45" i="8"/>
  <c r="O46" i="8" l="1"/>
  <c r="O47" i="8" s="1"/>
  <c r="AH46" i="8"/>
  <c r="AH47" i="8" s="1"/>
  <c r="O48" i="8"/>
  <c r="O51" i="8" l="1"/>
  <c r="O49" i="8"/>
  <c r="AH49" i="8"/>
  <c r="AH50" i="8" s="1"/>
  <c r="O50" i="8" l="1"/>
  <c r="AH52" i="8"/>
  <c r="AH53" i="8" s="1"/>
  <c r="O52" i="8"/>
  <c r="O54" i="8"/>
  <c r="AH55" i="8" l="1"/>
  <c r="AH56" i="8" s="1"/>
  <c r="O55" i="8"/>
  <c r="O57" i="8"/>
  <c r="O53" i="8"/>
  <c r="AH58" i="8" l="1"/>
  <c r="AH59" i="8" s="1"/>
  <c r="O58" i="8"/>
  <c r="O60" i="8"/>
  <c r="O56" i="8"/>
  <c r="AH61" i="8" l="1"/>
  <c r="AH62" i="8" s="1"/>
  <c r="O61" i="8"/>
  <c r="O63" i="8"/>
  <c r="O59" i="8"/>
  <c r="AH64" i="8" l="1"/>
  <c r="AH65" i="8" s="1"/>
  <c r="O64" i="8"/>
  <c r="O66" i="8"/>
  <c r="O62" i="8"/>
  <c r="O67" i="8" l="1"/>
  <c r="AH67" i="8"/>
  <c r="AH68" i="8" s="1"/>
  <c r="O69" i="8"/>
  <c r="O65" i="8"/>
  <c r="AH70" i="8" l="1"/>
  <c r="AH71" i="8" s="1"/>
  <c r="O70" i="8"/>
  <c r="O72" i="8"/>
  <c r="O68" i="8"/>
  <c r="O71" i="8" l="1"/>
  <c r="AH73" i="8"/>
  <c r="AH74" i="8" s="1"/>
  <c r="O73" i="8"/>
  <c r="O75" i="8"/>
  <c r="O74" i="8" l="1"/>
  <c r="O78" i="8"/>
  <c r="AH76" i="8"/>
  <c r="AH77" i="8" s="1"/>
  <c r="O76" i="8"/>
  <c r="O77" i="8" l="1"/>
  <c r="AH79" i="8"/>
  <c r="AH80" i="8" s="1"/>
  <c r="O79" i="8"/>
  <c r="O81" i="8"/>
  <c r="O82" i="8" l="1"/>
  <c r="AH82" i="8"/>
  <c r="AH83" i="8" s="1"/>
  <c r="O84" i="8"/>
  <c r="O80" i="8"/>
  <c r="AH85" i="8" l="1"/>
  <c r="AH86" i="8" s="1"/>
  <c r="O87" i="8"/>
  <c r="O85" i="8"/>
  <c r="O83" i="8"/>
  <c r="O86" i="8" l="1"/>
  <c r="AH88" i="8"/>
  <c r="AH89" i="8" s="1"/>
  <c r="O88" i="8"/>
  <c r="O90" i="8"/>
  <c r="O91" i="8" l="1"/>
  <c r="AH91" i="8"/>
  <c r="AH92" i="8" s="1"/>
  <c r="O93" i="8"/>
  <c r="O89" i="8"/>
  <c r="AH94" i="8" l="1"/>
  <c r="AH95" i="8" s="1"/>
  <c r="O94" i="8"/>
  <c r="O96" i="8"/>
  <c r="O92" i="8"/>
  <c r="AH97" i="8" l="1"/>
  <c r="AH98" i="8" s="1"/>
  <c r="O99" i="8"/>
  <c r="O97" i="8"/>
  <c r="O95" i="8"/>
  <c r="O98" i="8" l="1"/>
  <c r="AH100" i="8"/>
  <c r="AH101" i="8" s="1"/>
  <c r="O100" i="8"/>
  <c r="O102" i="8"/>
  <c r="AH103" i="8" l="1"/>
  <c r="AH104" i="8" s="1"/>
  <c r="O103" i="8"/>
  <c r="O105" i="8"/>
  <c r="O101" i="8"/>
  <c r="AH106" i="8" l="1"/>
  <c r="AH107" i="8" s="1"/>
  <c r="O106" i="8"/>
  <c r="O108" i="8"/>
  <c r="O104" i="8"/>
  <c r="AH109" i="8" l="1"/>
  <c r="AH110" i="8" s="1"/>
  <c r="O109" i="8"/>
  <c r="O111" i="8"/>
  <c r="O107" i="8"/>
  <c r="AH112" i="8" l="1"/>
  <c r="AH113" i="8" s="1"/>
  <c r="O112" i="8"/>
  <c r="O114" i="8"/>
  <c r="O110" i="8"/>
  <c r="I12" i="8" l="1"/>
  <c r="M12" i="8" s="1"/>
  <c r="H45" i="6" s="1"/>
  <c r="AH115" i="8"/>
  <c r="AH116" i="8" s="1"/>
  <c r="O117" i="8"/>
  <c r="O115" i="8"/>
  <c r="O113" i="8"/>
  <c r="O116" i="8" l="1"/>
  <c r="O120" i="8"/>
  <c r="AH118" i="8"/>
  <c r="AH119" i="8" s="1"/>
  <c r="O118" i="8"/>
  <c r="O119" i="8" l="1"/>
  <c r="AH121" i="8"/>
  <c r="AH122" i="8" s="1"/>
  <c r="O121" i="8"/>
  <c r="O123" i="8"/>
  <c r="O124" i="8" l="1"/>
  <c r="AH124" i="8"/>
  <c r="AH125" i="8" s="1"/>
  <c r="O126" i="8"/>
  <c r="O122" i="8"/>
  <c r="AH127" i="8" l="1"/>
  <c r="AH128" i="8" s="1"/>
  <c r="O127" i="8"/>
  <c r="O129" i="8"/>
  <c r="O125" i="8"/>
  <c r="AH130" i="8" l="1"/>
  <c r="AH131" i="8" s="1"/>
  <c r="O130" i="8"/>
  <c r="O132" i="8"/>
  <c r="O128" i="8"/>
  <c r="O133" i="8" l="1"/>
  <c r="AH133" i="8"/>
  <c r="AH134" i="8" s="1"/>
  <c r="O135" i="8"/>
  <c r="O131" i="8"/>
  <c r="AH136" i="8" l="1"/>
  <c r="AH137" i="8" s="1"/>
  <c r="O136" i="8"/>
  <c r="O138" i="8"/>
  <c r="O134" i="8"/>
  <c r="O141" i="8" l="1"/>
  <c r="AH139" i="8"/>
  <c r="AH140" i="8" s="1"/>
  <c r="O139" i="8"/>
  <c r="O137" i="8"/>
  <c r="O140" i="8" l="1"/>
  <c r="V118" i="7"/>
  <c r="O142" i="8"/>
  <c r="AH142" i="8"/>
  <c r="AH143" i="8" s="1"/>
  <c r="O144" i="8"/>
  <c r="V117" i="7"/>
  <c r="O147" i="8" l="1"/>
  <c r="O145" i="8"/>
  <c r="AH145" i="8"/>
  <c r="AH146" i="8" s="1"/>
  <c r="O143" i="8"/>
  <c r="Y43" i="8"/>
  <c r="Y44" i="8"/>
  <c r="Y41" i="8"/>
  <c r="Y45" i="8"/>
  <c r="Y48" i="8"/>
  <c r="Y40" i="8"/>
  <c r="Y47" i="8"/>
  <c r="Y42" i="8"/>
  <c r="Y46" i="8"/>
  <c r="Y33" i="8"/>
  <c r="Y26" i="8"/>
  <c r="Y29" i="8"/>
  <c r="Y36" i="8"/>
  <c r="Y35" i="8"/>
  <c r="Y39" i="8"/>
  <c r="Y22" i="8"/>
  <c r="Y49" i="8"/>
  <c r="Y32" i="8"/>
  <c r="Y23" i="8"/>
  <c r="Y51" i="8"/>
  <c r="Y30" i="8"/>
  <c r="Y31" i="8"/>
  <c r="Y34" i="8"/>
  <c r="Y24" i="8"/>
  <c r="Y25" i="8"/>
  <c r="Y27" i="8"/>
  <c r="Y38" i="8"/>
  <c r="Y37" i="8"/>
  <c r="Y28" i="8"/>
  <c r="Y54" i="8"/>
  <c r="Y50" i="8"/>
  <c r="Y52" i="8"/>
  <c r="Y55" i="8"/>
  <c r="Y57" i="8"/>
  <c r="Y53" i="8"/>
  <c r="Y60" i="8"/>
  <c r="Y58" i="8"/>
  <c r="Y56" i="8"/>
  <c r="Y59" i="8"/>
  <c r="S11" i="8"/>
  <c r="Y63" i="8"/>
  <c r="P11" i="8"/>
  <c r="Q11" i="8" s="1"/>
  <c r="Y61" i="8"/>
  <c r="K12" i="8"/>
  <c r="Y64" i="8"/>
  <c r="Y66" i="8"/>
  <c r="Y62" i="8"/>
  <c r="Y65" i="8"/>
  <c r="Y69" i="8"/>
  <c r="Y67" i="8"/>
  <c r="Y70" i="8"/>
  <c r="Y68" i="8"/>
  <c r="Y72" i="8"/>
  <c r="Y73" i="8"/>
  <c r="Y71" i="8"/>
  <c r="Y75" i="8"/>
  <c r="Y76" i="8"/>
  <c r="Y78" i="8"/>
  <c r="Y74" i="8"/>
  <c r="Y81" i="8"/>
  <c r="Y79" i="8"/>
  <c r="Y77" i="8"/>
  <c r="Y80" i="8"/>
  <c r="Y84" i="8"/>
  <c r="Y82" i="8"/>
  <c r="Y83" i="8"/>
  <c r="Y85" i="8"/>
  <c r="Y87" i="8"/>
  <c r="Y90" i="8"/>
  <c r="Y86" i="8"/>
  <c r="Y88" i="8"/>
  <c r="Y89" i="8"/>
  <c r="Y93" i="8"/>
  <c r="Y91" i="8"/>
  <c r="Y96" i="8"/>
  <c r="Y94" i="8"/>
  <c r="Y92" i="8"/>
  <c r="Y95" i="8"/>
  <c r="Y97" i="8"/>
  <c r="Y99" i="8"/>
  <c r="Y98" i="8"/>
  <c r="Y102" i="8"/>
  <c r="Y100" i="8"/>
  <c r="Y101" i="8"/>
  <c r="Y103" i="8"/>
  <c r="Y105" i="8"/>
  <c r="Y108" i="8"/>
  <c r="Y106" i="8"/>
  <c r="Y104" i="8"/>
  <c r="Y111" i="8"/>
  <c r="Y109" i="8"/>
  <c r="Y107" i="8"/>
  <c r="Y110" i="8"/>
  <c r="Z108" i="8" l="1"/>
  <c r="Z103" i="8"/>
  <c r="Z92" i="8"/>
  <c r="Z90" i="8"/>
  <c r="Z79" i="8"/>
  <c r="Z72" i="8"/>
  <c r="Z64" i="8"/>
  <c r="Z56" i="8"/>
  <c r="Z54" i="8"/>
  <c r="Z31" i="8"/>
  <c r="Z35" i="8"/>
  <c r="Z40" i="8"/>
  <c r="Z107" i="8"/>
  <c r="Z101" i="8"/>
  <c r="Z94" i="8"/>
  <c r="Z87" i="8"/>
  <c r="Z81" i="8"/>
  <c r="Z68" i="8"/>
  <c r="Z58" i="8"/>
  <c r="AB28" i="8"/>
  <c r="AC28" i="8" s="1"/>
  <c r="AE28" i="8"/>
  <c r="AF28" i="8" s="1"/>
  <c r="Z28" i="8"/>
  <c r="AB30" i="8"/>
  <c r="AC30" i="8" s="1"/>
  <c r="AE30" i="8"/>
  <c r="AF30" i="8" s="1"/>
  <c r="Z30" i="8"/>
  <c r="Z36" i="8"/>
  <c r="Z48" i="8"/>
  <c r="Z109" i="8"/>
  <c r="Z100" i="8"/>
  <c r="Z96" i="8"/>
  <c r="Z85" i="8"/>
  <c r="Z74" i="8"/>
  <c r="Z70" i="8"/>
  <c r="D27" i="6"/>
  <c r="D87" i="6" s="1"/>
  <c r="J87" i="6" s="1"/>
  <c r="Z60" i="8"/>
  <c r="Z37" i="8"/>
  <c r="Z51" i="8"/>
  <c r="AE29" i="8"/>
  <c r="AF29" i="8" s="1"/>
  <c r="Z29" i="8"/>
  <c r="AB29" i="8"/>
  <c r="AC29" i="8" s="1"/>
  <c r="Z45" i="8"/>
  <c r="Z111" i="8"/>
  <c r="Z102" i="8"/>
  <c r="Z91" i="8"/>
  <c r="Z83" i="8"/>
  <c r="Z78" i="8"/>
  <c r="Z67" i="8"/>
  <c r="Z61" i="8"/>
  <c r="Z53" i="8"/>
  <c r="Z38" i="8"/>
  <c r="AB23" i="8"/>
  <c r="AC23" i="8" s="1"/>
  <c r="AE23" i="8"/>
  <c r="AF23" i="8" s="1"/>
  <c r="Z23" i="8"/>
  <c r="U23" i="8"/>
  <c r="AE26" i="8"/>
  <c r="AF26" i="8" s="1"/>
  <c r="Z26" i="8"/>
  <c r="AB26" i="8"/>
  <c r="AC26" i="8" s="1"/>
  <c r="Z41" i="8"/>
  <c r="Z98" i="8"/>
  <c r="Z82" i="8"/>
  <c r="AB104" i="8"/>
  <c r="AC104" i="8" s="1"/>
  <c r="AB98" i="8"/>
  <c r="AC98" i="8" s="1"/>
  <c r="AB70" i="8"/>
  <c r="AC70" i="8" s="1"/>
  <c r="AB73" i="8"/>
  <c r="AC73" i="8" s="1"/>
  <c r="AB90" i="8"/>
  <c r="AC90" i="8" s="1"/>
  <c r="AB65" i="8"/>
  <c r="AC65" i="8" s="1"/>
  <c r="AB55" i="8"/>
  <c r="AC55" i="8" s="1"/>
  <c r="AB49" i="8"/>
  <c r="AC49" i="8" s="1"/>
  <c r="AB41" i="8"/>
  <c r="AC41" i="8" s="1"/>
  <c r="AB35" i="8"/>
  <c r="AC35" i="8" s="1"/>
  <c r="AB109" i="8"/>
  <c r="AC109" i="8" s="1"/>
  <c r="AB95" i="8"/>
  <c r="AC95" i="8" s="1"/>
  <c r="AB71" i="8"/>
  <c r="AC71" i="8" s="1"/>
  <c r="AB62" i="8"/>
  <c r="AC62" i="8" s="1"/>
  <c r="AB46" i="8"/>
  <c r="AC46" i="8" s="1"/>
  <c r="AB32" i="8"/>
  <c r="AC32" i="8" s="1"/>
  <c r="AB34" i="8"/>
  <c r="AC34" i="8" s="1"/>
  <c r="AB105" i="8"/>
  <c r="AC105" i="8" s="1"/>
  <c r="AB94" i="8"/>
  <c r="AC94" i="8" s="1"/>
  <c r="AB79" i="8"/>
  <c r="AC79" i="8" s="1"/>
  <c r="AB74" i="8"/>
  <c r="AC74" i="8" s="1"/>
  <c r="AB77" i="8"/>
  <c r="AC77" i="8" s="1"/>
  <c r="AB64" i="8"/>
  <c r="AC64" i="8" s="1"/>
  <c r="AB56" i="8"/>
  <c r="AC56" i="8" s="1"/>
  <c r="AB47" i="8"/>
  <c r="AC47" i="8" s="1"/>
  <c r="AB40" i="8"/>
  <c r="AC40" i="8" s="1"/>
  <c r="AB38" i="8"/>
  <c r="AC38" i="8" s="1"/>
  <c r="AB103" i="8"/>
  <c r="AC103" i="8" s="1"/>
  <c r="AB76" i="8"/>
  <c r="AC76" i="8" s="1"/>
  <c r="AB84" i="8"/>
  <c r="AC84" i="8" s="1"/>
  <c r="AB57" i="8"/>
  <c r="AC57" i="8" s="1"/>
  <c r="AB91" i="8"/>
  <c r="AC91" i="8" s="1"/>
  <c r="AB67" i="8"/>
  <c r="AC67" i="8" s="1"/>
  <c r="AB111" i="8"/>
  <c r="AC111" i="8" s="1"/>
  <c r="AB100" i="8"/>
  <c r="AC100" i="8" s="1"/>
  <c r="AB96" i="8"/>
  <c r="AC96" i="8" s="1"/>
  <c r="AB87" i="8"/>
  <c r="AC87" i="8" s="1"/>
  <c r="AB86" i="8"/>
  <c r="AC86" i="8" s="1"/>
  <c r="AB80" i="8"/>
  <c r="AC80" i="8" s="1"/>
  <c r="AB61" i="8"/>
  <c r="AC61" i="8" s="1"/>
  <c r="AB53" i="8"/>
  <c r="AC53" i="8" s="1"/>
  <c r="AB48" i="8"/>
  <c r="AC48" i="8" s="1"/>
  <c r="AB36" i="8"/>
  <c r="AC36" i="8" s="1"/>
  <c r="AB106" i="8"/>
  <c r="AC106" i="8" s="1"/>
  <c r="AB92" i="8"/>
  <c r="AC92" i="8" s="1"/>
  <c r="AB72" i="8"/>
  <c r="AC72" i="8" s="1"/>
  <c r="AB59" i="8"/>
  <c r="AC59" i="8" s="1"/>
  <c r="AB33" i="8"/>
  <c r="AC33" i="8" s="1"/>
  <c r="AB44" i="8"/>
  <c r="AC44" i="8" s="1"/>
  <c r="AB110" i="8"/>
  <c r="AC110" i="8" s="1"/>
  <c r="AB102" i="8"/>
  <c r="AC102" i="8" s="1"/>
  <c r="AB82" i="8"/>
  <c r="AC82" i="8" s="1"/>
  <c r="AB85" i="8"/>
  <c r="AC85" i="8" s="1"/>
  <c r="AB81" i="8"/>
  <c r="AC81" i="8" s="1"/>
  <c r="AB69" i="8"/>
  <c r="AC69" i="8" s="1"/>
  <c r="AB63" i="8"/>
  <c r="AC63" i="8" s="1"/>
  <c r="AB52" i="8"/>
  <c r="AC52" i="8" s="1"/>
  <c r="AB43" i="8"/>
  <c r="AC43" i="8" s="1"/>
  <c r="AB31" i="8"/>
  <c r="AC31" i="8" s="1"/>
  <c r="AB37" i="8"/>
  <c r="AC37" i="8" s="1"/>
  <c r="AB101" i="8"/>
  <c r="AC101" i="8" s="1"/>
  <c r="AB88" i="8"/>
  <c r="AC88" i="8" s="1"/>
  <c r="AB68" i="8"/>
  <c r="AC68" i="8" s="1"/>
  <c r="AB54" i="8"/>
  <c r="AC54" i="8" s="1"/>
  <c r="AB45" i="8"/>
  <c r="AC45" i="8" s="1"/>
  <c r="AB108" i="8"/>
  <c r="AC108" i="8" s="1"/>
  <c r="AB83" i="8"/>
  <c r="AC83" i="8" s="1"/>
  <c r="AB89" i="8"/>
  <c r="AC89" i="8" s="1"/>
  <c r="AB51" i="8"/>
  <c r="AC51" i="8" s="1"/>
  <c r="AB107" i="8"/>
  <c r="AC107" i="8" s="1"/>
  <c r="AB99" i="8"/>
  <c r="AC99" i="8" s="1"/>
  <c r="AB93" i="8"/>
  <c r="AC93" i="8" s="1"/>
  <c r="AB78" i="8"/>
  <c r="AC78" i="8" s="1"/>
  <c r="AB75" i="8"/>
  <c r="AC75" i="8" s="1"/>
  <c r="AB66" i="8"/>
  <c r="AC66" i="8" s="1"/>
  <c r="AB60" i="8"/>
  <c r="AC60" i="8" s="1"/>
  <c r="AB50" i="8"/>
  <c r="AC50" i="8" s="1"/>
  <c r="AB42" i="8"/>
  <c r="AC42" i="8" s="1"/>
  <c r="AB39" i="8"/>
  <c r="AC39" i="8" s="1"/>
  <c r="AB97" i="8"/>
  <c r="AC97" i="8" s="1"/>
  <c r="AB58" i="8"/>
  <c r="AC58" i="8" s="1"/>
  <c r="AE27" i="8"/>
  <c r="AF27" i="8" s="1"/>
  <c r="Z27" i="8"/>
  <c r="AB27" i="8"/>
  <c r="AC27" i="8" s="1"/>
  <c r="Z32" i="8"/>
  <c r="Z33" i="8"/>
  <c r="Z44" i="8"/>
  <c r="O146" i="8"/>
  <c r="Z104" i="8"/>
  <c r="Z93" i="8"/>
  <c r="Z76" i="8"/>
  <c r="Z69" i="8"/>
  <c r="Z57" i="8"/>
  <c r="Z106" i="8"/>
  <c r="Z99" i="8"/>
  <c r="Z89" i="8"/>
  <c r="Z84" i="8"/>
  <c r="Z75" i="8"/>
  <c r="Z65" i="8"/>
  <c r="Z63" i="8"/>
  <c r="Z55" i="8"/>
  <c r="Z25" i="8"/>
  <c r="AB25" i="8"/>
  <c r="AC25" i="8" s="1"/>
  <c r="AE25" i="8"/>
  <c r="AF25" i="8" s="1"/>
  <c r="Z49" i="8"/>
  <c r="Z46" i="8"/>
  <c r="Z43" i="8"/>
  <c r="AH148" i="8"/>
  <c r="AH149" i="8" s="1"/>
  <c r="O150" i="8"/>
  <c r="O148" i="8"/>
  <c r="Z97" i="8"/>
  <c r="Z80" i="8"/>
  <c r="AE57" i="8"/>
  <c r="AF57" i="8" s="1"/>
  <c r="AE40" i="8"/>
  <c r="AF40" i="8" s="1"/>
  <c r="AE104" i="8"/>
  <c r="AF104" i="8" s="1"/>
  <c r="AE96" i="8"/>
  <c r="AF96" i="8" s="1"/>
  <c r="AE82" i="8"/>
  <c r="AF82" i="8" s="1"/>
  <c r="AE81" i="8"/>
  <c r="AF81" i="8" s="1"/>
  <c r="AE111" i="8"/>
  <c r="AF111" i="8" s="1"/>
  <c r="AE103" i="8"/>
  <c r="AF103" i="8" s="1"/>
  <c r="AE95" i="8"/>
  <c r="AF95" i="8" s="1"/>
  <c r="AE88" i="8"/>
  <c r="AF88" i="8" s="1"/>
  <c r="AE74" i="8"/>
  <c r="AF74" i="8" s="1"/>
  <c r="AE84" i="8"/>
  <c r="AF84" i="8" s="1"/>
  <c r="AE63" i="8"/>
  <c r="AF63" i="8" s="1"/>
  <c r="AE55" i="8"/>
  <c r="AF55" i="8" s="1"/>
  <c r="AE48" i="8"/>
  <c r="AF48" i="8" s="1"/>
  <c r="AE37" i="8"/>
  <c r="AF37" i="8" s="1"/>
  <c r="AE32" i="8"/>
  <c r="AF32" i="8" s="1"/>
  <c r="AE110" i="8"/>
  <c r="AF110" i="8" s="1"/>
  <c r="AE102" i="8"/>
  <c r="AF102" i="8" s="1"/>
  <c r="AE94" i="8"/>
  <c r="AF94" i="8" s="1"/>
  <c r="AE87" i="8"/>
  <c r="AF87" i="8" s="1"/>
  <c r="AE71" i="8"/>
  <c r="AF71" i="8" s="1"/>
  <c r="AE80" i="8"/>
  <c r="AF80" i="8" s="1"/>
  <c r="AE62" i="8"/>
  <c r="AF62" i="8" s="1"/>
  <c r="AE54" i="8"/>
  <c r="AF54" i="8" s="1"/>
  <c r="AE47" i="8"/>
  <c r="AF47" i="8" s="1"/>
  <c r="AE33" i="8"/>
  <c r="AF33" i="8" s="1"/>
  <c r="AE108" i="8"/>
  <c r="AF108" i="8" s="1"/>
  <c r="AE100" i="8"/>
  <c r="AF100" i="8" s="1"/>
  <c r="AE93" i="8"/>
  <c r="AF93" i="8" s="1"/>
  <c r="AE86" i="8"/>
  <c r="AF86" i="8" s="1"/>
  <c r="AE69" i="8"/>
  <c r="AF69" i="8" s="1"/>
  <c r="AE58" i="8"/>
  <c r="AF58" i="8" s="1"/>
  <c r="AE44" i="8"/>
  <c r="AF44" i="8" s="1"/>
  <c r="AE39" i="8"/>
  <c r="AF39" i="8" s="1"/>
  <c r="AE107" i="8"/>
  <c r="AF107" i="8" s="1"/>
  <c r="AE99" i="8"/>
  <c r="AF99" i="8" s="1"/>
  <c r="AE83" i="8"/>
  <c r="AF83" i="8" s="1"/>
  <c r="AE77" i="8"/>
  <c r="AF77" i="8" s="1"/>
  <c r="AE68" i="8"/>
  <c r="AF68" i="8" s="1"/>
  <c r="AE60" i="8"/>
  <c r="AF60" i="8" s="1"/>
  <c r="AE43" i="8"/>
  <c r="AF43" i="8" s="1"/>
  <c r="AE31" i="8"/>
  <c r="AF31" i="8" s="1"/>
  <c r="AE109" i="8"/>
  <c r="AF109" i="8" s="1"/>
  <c r="AE101" i="8"/>
  <c r="AF101" i="8" s="1"/>
  <c r="AE73" i="8"/>
  <c r="AF73" i="8" s="1"/>
  <c r="AE78" i="8"/>
  <c r="AF78" i="8" s="1"/>
  <c r="AE72" i="8"/>
  <c r="AF72" i="8" s="1"/>
  <c r="AE67" i="8"/>
  <c r="AF67" i="8" s="1"/>
  <c r="AE61" i="8"/>
  <c r="AF61" i="8" s="1"/>
  <c r="AE53" i="8"/>
  <c r="AF53" i="8" s="1"/>
  <c r="AE45" i="8"/>
  <c r="AF45" i="8" s="1"/>
  <c r="AE34" i="8"/>
  <c r="AF34" i="8" s="1"/>
  <c r="AE79" i="8"/>
  <c r="AF79" i="8" s="1"/>
  <c r="AE52" i="8"/>
  <c r="AF52" i="8" s="1"/>
  <c r="AE92" i="8"/>
  <c r="AF92" i="8" s="1"/>
  <c r="AE51" i="8"/>
  <c r="AF51" i="8" s="1"/>
  <c r="AE106" i="8"/>
  <c r="AF106" i="8" s="1"/>
  <c r="AE98" i="8"/>
  <c r="AF98" i="8" s="1"/>
  <c r="AE91" i="8"/>
  <c r="AF91" i="8" s="1"/>
  <c r="AE76" i="8"/>
  <c r="AF76" i="8" s="1"/>
  <c r="AE89" i="8"/>
  <c r="AF89" i="8" s="1"/>
  <c r="AE66" i="8"/>
  <c r="AF66" i="8" s="1"/>
  <c r="AE59" i="8"/>
  <c r="AF59" i="8" s="1"/>
  <c r="AE50" i="8"/>
  <c r="AF50" i="8" s="1"/>
  <c r="AE42" i="8"/>
  <c r="AF42" i="8" s="1"/>
  <c r="AE38" i="8"/>
  <c r="AF38" i="8" s="1"/>
  <c r="AE105" i="8"/>
  <c r="AF105" i="8" s="1"/>
  <c r="AE97" i="8"/>
  <c r="AF97" i="8" s="1"/>
  <c r="AE70" i="8"/>
  <c r="AF70" i="8" s="1"/>
  <c r="AE85" i="8"/>
  <c r="AF85" i="8" s="1"/>
  <c r="AE75" i="8"/>
  <c r="AF75" i="8" s="1"/>
  <c r="AE65" i="8"/>
  <c r="AF65" i="8" s="1"/>
  <c r="AE49" i="8"/>
  <c r="AF49" i="8" s="1"/>
  <c r="AE41" i="8"/>
  <c r="AF41" i="8" s="1"/>
  <c r="AE36" i="8"/>
  <c r="AF36" i="8" s="1"/>
  <c r="AE90" i="8"/>
  <c r="AF90" i="8" s="1"/>
  <c r="AE64" i="8"/>
  <c r="AF64" i="8" s="1"/>
  <c r="AE56" i="8"/>
  <c r="AF56" i="8" s="1"/>
  <c r="AE46" i="8"/>
  <c r="AF46" i="8" s="1"/>
  <c r="AE35" i="8"/>
  <c r="AF35" i="8" s="1"/>
  <c r="AB24" i="8"/>
  <c r="AC24" i="8" s="1"/>
  <c r="Z24" i="8"/>
  <c r="AE24" i="8"/>
  <c r="AF24" i="8" s="1"/>
  <c r="Z42" i="8"/>
  <c r="Z88" i="8"/>
  <c r="Z71" i="8"/>
  <c r="Z62" i="8"/>
  <c r="Z52" i="8"/>
  <c r="AE22" i="8"/>
  <c r="AF22" i="8" s="1"/>
  <c r="AB22" i="8"/>
  <c r="AC22" i="8" s="1"/>
  <c r="U22" i="8"/>
  <c r="Z22" i="8"/>
  <c r="Z110" i="8"/>
  <c r="Z105" i="8"/>
  <c r="Z95" i="8"/>
  <c r="Z86" i="8"/>
  <c r="Z77" i="8"/>
  <c r="Z73" i="8"/>
  <c r="Z66" i="8"/>
  <c r="Z59" i="8"/>
  <c r="Z50" i="8"/>
  <c r="Z34" i="8"/>
  <c r="Z39" i="8"/>
  <c r="Z47" i="8"/>
  <c r="W71" i="8" l="1"/>
  <c r="U71" i="8" s="1"/>
  <c r="W29" i="8"/>
  <c r="U29" i="8" s="1"/>
  <c r="W34" i="8"/>
  <c r="U34" i="8" s="1"/>
  <c r="W110" i="8"/>
  <c r="U110" i="8" s="1"/>
  <c r="W65" i="8"/>
  <c r="U65" i="8" s="1"/>
  <c r="W95" i="8"/>
  <c r="U95" i="8" s="1"/>
  <c r="W57" i="8"/>
  <c r="U57" i="8" s="1"/>
  <c r="H57" i="6" s="1"/>
  <c r="W50" i="8"/>
  <c r="U50" i="8" s="1"/>
  <c r="W26" i="8"/>
  <c r="U26" i="8" s="1"/>
  <c r="W47" i="8"/>
  <c r="U47" i="8" s="1"/>
  <c r="W104" i="8"/>
  <c r="U104" i="8" s="1"/>
  <c r="W39" i="8"/>
  <c r="U39" i="8" s="1"/>
  <c r="W86" i="8"/>
  <c r="U86" i="8" s="1"/>
  <c r="W52" i="8"/>
  <c r="U52" i="8" s="1"/>
  <c r="W46" i="8"/>
  <c r="U46" i="8" s="1"/>
  <c r="W62" i="8"/>
  <c r="U62" i="8" s="1"/>
  <c r="W105" i="8"/>
  <c r="U105" i="8" s="1"/>
  <c r="W42" i="8"/>
  <c r="U42" i="8" s="1"/>
  <c r="W44" i="8"/>
  <c r="U44" i="8" s="1"/>
  <c r="W49" i="8"/>
  <c r="U49" i="8" s="1"/>
  <c r="W27" i="8"/>
  <c r="U27" i="8" s="1"/>
  <c r="W22" i="8"/>
  <c r="W80" i="8"/>
  <c r="U80" i="8" s="1"/>
  <c r="W32" i="8"/>
  <c r="U32" i="8" s="1"/>
  <c r="W24" i="8"/>
  <c r="U24" i="8" s="1"/>
  <c r="W84" i="8"/>
  <c r="U84" i="8" s="1"/>
  <c r="W33" i="8"/>
  <c r="U33" i="8" s="1"/>
  <c r="W99" i="8"/>
  <c r="U99" i="8" s="1"/>
  <c r="W106" i="8"/>
  <c r="U106" i="8" s="1"/>
  <c r="W66" i="8"/>
  <c r="U66" i="8" s="1"/>
  <c r="W97" i="8"/>
  <c r="U97" i="8" s="1"/>
  <c r="W74" i="8"/>
  <c r="U74" i="8" s="1"/>
  <c r="W103" i="8"/>
  <c r="U103" i="8" s="1"/>
  <c r="W36" i="8"/>
  <c r="U36" i="8" s="1"/>
  <c r="W51" i="8"/>
  <c r="U51" i="8" s="1"/>
  <c r="W91" i="8"/>
  <c r="U91" i="8" s="1"/>
  <c r="W88" i="8"/>
  <c r="U88" i="8" s="1"/>
  <c r="W43" i="8"/>
  <c r="U43" i="8" s="1"/>
  <c r="W61" i="8"/>
  <c r="U61" i="8" s="1"/>
  <c r="W102" i="8"/>
  <c r="U102" i="8" s="1"/>
  <c r="H58" i="6" s="1"/>
  <c r="W30" i="8"/>
  <c r="U30" i="8" s="1"/>
  <c r="W89" i="8"/>
  <c r="U89" i="8" s="1"/>
  <c r="W93" i="8"/>
  <c r="U93" i="8" s="1"/>
  <c r="H59" i="6" s="1"/>
  <c r="W109" i="8"/>
  <c r="U109" i="8" s="1"/>
  <c r="W63" i="8"/>
  <c r="U63" i="8" s="1"/>
  <c r="W31" i="8"/>
  <c r="U31" i="8" s="1"/>
  <c r="W73" i="8"/>
  <c r="U73" i="8" s="1"/>
  <c r="W75" i="8"/>
  <c r="U75" i="8" s="1"/>
  <c r="W38" i="8"/>
  <c r="U38" i="8" s="1"/>
  <c r="W45" i="8"/>
  <c r="U45" i="8" s="1"/>
  <c r="H55" i="6" s="1"/>
  <c r="W37" i="8"/>
  <c r="U37" i="8" s="1"/>
  <c r="W87" i="8"/>
  <c r="U87" i="8" s="1"/>
  <c r="W72" i="8"/>
  <c r="U72" i="8" s="1"/>
  <c r="H61" i="6" s="1"/>
  <c r="W55" i="8"/>
  <c r="U55" i="8" s="1"/>
  <c r="W78" i="8"/>
  <c r="U78" i="8" s="1"/>
  <c r="H60" i="6" s="1"/>
  <c r="W111" i="8"/>
  <c r="U111" i="8" s="1"/>
  <c r="W85" i="8"/>
  <c r="U85" i="8" s="1"/>
  <c r="W58" i="8"/>
  <c r="U58" i="8" s="1"/>
  <c r="W79" i="8"/>
  <c r="U79" i="8" s="1"/>
  <c r="W108" i="8"/>
  <c r="U108" i="8" s="1"/>
  <c r="W98" i="8"/>
  <c r="U98" i="8" s="1"/>
  <c r="W53" i="8"/>
  <c r="U53" i="8" s="1"/>
  <c r="W83" i="8"/>
  <c r="U83" i="8" s="1"/>
  <c r="W94" i="8"/>
  <c r="U94" i="8" s="1"/>
  <c r="W54" i="8"/>
  <c r="U54" i="8" s="1"/>
  <c r="W82" i="8"/>
  <c r="U82" i="8" s="1"/>
  <c r="W77" i="8"/>
  <c r="U77" i="8" s="1"/>
  <c r="W69" i="8"/>
  <c r="U69" i="8" s="1"/>
  <c r="W60" i="8"/>
  <c r="U60" i="8" s="1"/>
  <c r="W40" i="8"/>
  <c r="U40" i="8" s="1"/>
  <c r="W56" i="8"/>
  <c r="U56" i="8" s="1"/>
  <c r="W90" i="8"/>
  <c r="U90" i="8" s="1"/>
  <c r="W96" i="8"/>
  <c r="U96" i="8" s="1"/>
  <c r="W68" i="8"/>
  <c r="U68" i="8" s="1"/>
  <c r="W101" i="8"/>
  <c r="U101" i="8" s="1"/>
  <c r="W25" i="8"/>
  <c r="U25" i="8" s="1"/>
  <c r="W23" i="8"/>
  <c r="W70" i="8"/>
  <c r="U70" i="8" s="1"/>
  <c r="W48" i="8"/>
  <c r="U48" i="8" s="1"/>
  <c r="W28" i="8"/>
  <c r="U28" i="8" s="1"/>
  <c r="W35" i="8"/>
  <c r="U35" i="8" s="1"/>
  <c r="W59" i="8"/>
  <c r="U59" i="8" s="1"/>
  <c r="W76" i="8"/>
  <c r="U76" i="8" s="1"/>
  <c r="W41" i="8"/>
  <c r="U41" i="8" s="1"/>
  <c r="W67" i="8"/>
  <c r="U67" i="8" s="1"/>
  <c r="W100" i="8"/>
  <c r="U100" i="8" s="1"/>
  <c r="W81" i="8"/>
  <c r="U81" i="8" s="1"/>
  <c r="W107" i="8"/>
  <c r="U107" i="8" s="1"/>
  <c r="W64" i="8"/>
  <c r="U64" i="8" s="1"/>
  <c r="W92" i="8"/>
  <c r="U92" i="8" s="1"/>
  <c r="O149" i="8"/>
  <c r="O151" i="8"/>
  <c r="AH151" i="8"/>
  <c r="AH152" i="8" s="1"/>
  <c r="O153" i="8"/>
  <c r="AH154" i="8" l="1"/>
  <c r="AH155" i="8" s="1"/>
  <c r="O156" i="8"/>
  <c r="O154" i="8"/>
  <c r="O152" i="8"/>
  <c r="AH157" i="8" l="1"/>
  <c r="AH158" i="8" s="1"/>
  <c r="O157" i="8"/>
  <c r="O159" i="8"/>
  <c r="O155" i="8"/>
  <c r="I13" i="8" l="1"/>
  <c r="K13" i="8" s="1"/>
  <c r="AH160" i="8"/>
  <c r="AH161" i="8" s="1"/>
  <c r="O160" i="8"/>
  <c r="O162" i="8"/>
  <c r="O158" i="8"/>
  <c r="O161" i="8" l="1"/>
  <c r="AH163" i="8"/>
  <c r="AH164" i="8" s="1"/>
  <c r="O163" i="8"/>
  <c r="O165" i="8"/>
  <c r="Q165" i="8" s="1"/>
  <c r="D28" i="6"/>
  <c r="D91" i="6" s="1"/>
  <c r="J91" i="6" s="1"/>
  <c r="I14" i="8" l="1"/>
  <c r="O164" i="8"/>
  <c r="Y165" i="8" l="1"/>
  <c r="Z165" i="8" s="1"/>
  <c r="Y113" i="8"/>
  <c r="Y115" i="8"/>
  <c r="Y112" i="8"/>
  <c r="Y117" i="8"/>
  <c r="Y114" i="8"/>
  <c r="Y120" i="8"/>
  <c r="Y116" i="8"/>
  <c r="Y118" i="8"/>
  <c r="Y121" i="8"/>
  <c r="Y123" i="8"/>
  <c r="Y119" i="8"/>
  <c r="Y122" i="8"/>
  <c r="Y126" i="8"/>
  <c r="Y124" i="8"/>
  <c r="Y129" i="8"/>
  <c r="Y125" i="8"/>
  <c r="Y127" i="8"/>
  <c r="Y130" i="8"/>
  <c r="Y128" i="8"/>
  <c r="Y132" i="8"/>
  <c r="Y135" i="8"/>
  <c r="Y131" i="8"/>
  <c r="Y133" i="8"/>
  <c r="Y134" i="8"/>
  <c r="Y138" i="8"/>
  <c r="Y136" i="8"/>
  <c r="Y139" i="8"/>
  <c r="Y137" i="8"/>
  <c r="Y141" i="8"/>
  <c r="Y140" i="8"/>
  <c r="Y163" i="8"/>
  <c r="AB163" i="8" s="1"/>
  <c r="AC163" i="8" s="1"/>
  <c r="Y164" i="8"/>
  <c r="AB164" i="8" s="1"/>
  <c r="AC164" i="8" s="1"/>
  <c r="Y161" i="8"/>
  <c r="M14" i="8"/>
  <c r="H46" i="6" s="1"/>
  <c r="K14" i="8"/>
  <c r="Y144" i="8"/>
  <c r="Y142" i="8"/>
  <c r="Y143" i="8"/>
  <c r="Y145" i="8"/>
  <c r="Y147" i="8"/>
  <c r="Y148" i="8"/>
  <c r="Y150" i="8"/>
  <c r="Y146" i="8"/>
  <c r="Y153" i="8"/>
  <c r="Y151" i="8"/>
  <c r="Y149" i="8"/>
  <c r="Y152" i="8"/>
  <c r="Y156" i="8"/>
  <c r="Y154" i="8"/>
  <c r="Y155" i="8"/>
  <c r="Y159" i="8"/>
  <c r="Y157" i="8"/>
  <c r="Y160" i="8"/>
  <c r="Y162" i="8"/>
  <c r="Y158" i="8"/>
  <c r="AE165" i="8" l="1"/>
  <c r="AF165" i="8" s="1"/>
  <c r="AB165" i="8"/>
  <c r="AC165" i="8" s="1"/>
  <c r="Z133" i="8"/>
  <c r="AE133" i="8"/>
  <c r="AF133" i="8" s="1"/>
  <c r="AB133" i="8"/>
  <c r="AC133" i="8" s="1"/>
  <c r="Z129" i="8"/>
  <c r="AB129" i="8"/>
  <c r="AC129" i="8" s="1"/>
  <c r="AE129" i="8"/>
  <c r="AF129" i="8" s="1"/>
  <c r="Z116" i="8"/>
  <c r="AE116" i="8"/>
  <c r="AF116" i="8" s="1"/>
  <c r="AB116" i="8"/>
  <c r="AC116" i="8" s="1"/>
  <c r="Z140" i="8"/>
  <c r="AE140" i="8"/>
  <c r="AF140" i="8" s="1"/>
  <c r="AB140" i="8"/>
  <c r="AC140" i="8" s="1"/>
  <c r="Z131" i="8"/>
  <c r="AE131" i="8"/>
  <c r="AF131" i="8" s="1"/>
  <c r="AB131" i="8"/>
  <c r="AC131" i="8" s="1"/>
  <c r="Z124" i="8"/>
  <c r="AE124" i="8"/>
  <c r="AF124" i="8" s="1"/>
  <c r="AB124" i="8"/>
  <c r="AC124" i="8" s="1"/>
  <c r="Z120" i="8"/>
  <c r="AE120" i="8"/>
  <c r="AF120" i="8" s="1"/>
  <c r="AB120" i="8"/>
  <c r="AC120" i="8" s="1"/>
  <c r="Z141" i="8"/>
  <c r="AE141" i="8"/>
  <c r="AF141" i="8" s="1"/>
  <c r="AB141" i="8"/>
  <c r="AC141" i="8" s="1"/>
  <c r="Z135" i="8"/>
  <c r="AE135" i="8"/>
  <c r="AF135" i="8" s="1"/>
  <c r="AB135" i="8"/>
  <c r="AC135" i="8" s="1"/>
  <c r="Z126" i="8"/>
  <c r="AB126" i="8"/>
  <c r="AC126" i="8" s="1"/>
  <c r="AE126" i="8"/>
  <c r="AF126" i="8" s="1"/>
  <c r="Z114" i="8"/>
  <c r="AE114" i="8"/>
  <c r="AF114" i="8" s="1"/>
  <c r="AB114" i="8"/>
  <c r="AC114" i="8" s="1"/>
  <c r="Z137" i="8"/>
  <c r="AE137" i="8"/>
  <c r="AF137" i="8" s="1"/>
  <c r="AB137" i="8"/>
  <c r="AC137" i="8" s="1"/>
  <c r="Z132" i="8"/>
  <c r="AE132" i="8"/>
  <c r="AF132" i="8" s="1"/>
  <c r="AB132" i="8"/>
  <c r="AC132" i="8" s="1"/>
  <c r="Z122" i="8"/>
  <c r="AE122" i="8"/>
  <c r="AF122" i="8" s="1"/>
  <c r="AB122" i="8"/>
  <c r="AC122" i="8" s="1"/>
  <c r="Z117" i="8"/>
  <c r="AE117" i="8"/>
  <c r="AF117" i="8" s="1"/>
  <c r="AB117" i="8"/>
  <c r="AC117" i="8" s="1"/>
  <c r="Z139" i="8"/>
  <c r="AB139" i="8"/>
  <c r="AC139" i="8" s="1"/>
  <c r="AE139" i="8"/>
  <c r="AF139" i="8" s="1"/>
  <c r="Z128" i="8"/>
  <c r="AE128" i="8"/>
  <c r="AF128" i="8" s="1"/>
  <c r="AB128" i="8"/>
  <c r="AC128" i="8" s="1"/>
  <c r="Z119" i="8"/>
  <c r="AE119" i="8"/>
  <c r="AF119" i="8" s="1"/>
  <c r="AB119" i="8"/>
  <c r="AC119" i="8" s="1"/>
  <c r="Z112" i="8"/>
  <c r="AE112" i="8"/>
  <c r="AF112" i="8" s="1"/>
  <c r="AB112" i="8"/>
  <c r="AC112" i="8" s="1"/>
  <c r="Z136" i="8"/>
  <c r="AE136" i="8"/>
  <c r="AF136" i="8" s="1"/>
  <c r="AB136" i="8"/>
  <c r="AC136" i="8" s="1"/>
  <c r="Z130" i="8"/>
  <c r="AB130" i="8"/>
  <c r="AC130" i="8" s="1"/>
  <c r="AE130" i="8"/>
  <c r="AF130" i="8" s="1"/>
  <c r="Z123" i="8"/>
  <c r="AE123" i="8"/>
  <c r="AF123" i="8" s="1"/>
  <c r="AB123" i="8"/>
  <c r="AC123" i="8" s="1"/>
  <c r="Z115" i="8"/>
  <c r="AB115" i="8"/>
  <c r="AC115" i="8" s="1"/>
  <c r="AE115" i="8"/>
  <c r="AF115" i="8" s="1"/>
  <c r="Z138" i="8"/>
  <c r="AE138" i="8"/>
  <c r="AF138" i="8" s="1"/>
  <c r="AB138" i="8"/>
  <c r="AC138" i="8" s="1"/>
  <c r="Z127" i="8"/>
  <c r="AB127" i="8"/>
  <c r="AC127" i="8" s="1"/>
  <c r="AE127" i="8"/>
  <c r="AF127" i="8" s="1"/>
  <c r="Z121" i="8"/>
  <c r="AE121" i="8"/>
  <c r="AF121" i="8" s="1"/>
  <c r="AB121" i="8"/>
  <c r="AC121" i="8" s="1"/>
  <c r="Z113" i="8"/>
  <c r="AE113" i="8"/>
  <c r="AF113" i="8" s="1"/>
  <c r="AB113" i="8"/>
  <c r="AC113" i="8" s="1"/>
  <c r="Z134" i="8"/>
  <c r="AB134" i="8"/>
  <c r="AC134" i="8" s="1"/>
  <c r="AE134" i="8"/>
  <c r="AF134" i="8" s="1"/>
  <c r="Z125" i="8"/>
  <c r="AE125" i="8"/>
  <c r="AF125" i="8" s="1"/>
  <c r="AB125" i="8"/>
  <c r="AC125" i="8" s="1"/>
  <c r="Z118" i="8"/>
  <c r="AB118" i="8"/>
  <c r="AC118" i="8" s="1"/>
  <c r="AE118" i="8"/>
  <c r="AF118" i="8" s="1"/>
  <c r="AE164" i="8"/>
  <c r="AF164" i="8" s="1"/>
  <c r="Z164" i="8"/>
  <c r="Z163" i="8"/>
  <c r="AE163" i="8"/>
  <c r="AF163" i="8" s="1"/>
  <c r="AE149" i="8"/>
  <c r="AF149" i="8" s="1"/>
  <c r="Z149" i="8"/>
  <c r="AB149" i="8"/>
  <c r="AC149" i="8" s="1"/>
  <c r="Z151" i="8"/>
  <c r="AE151" i="8"/>
  <c r="AF151" i="8" s="1"/>
  <c r="AB151" i="8"/>
  <c r="AC151" i="8" s="1"/>
  <c r="AE142" i="8"/>
  <c r="AF142" i="8" s="1"/>
  <c r="AB142" i="8"/>
  <c r="AC142" i="8" s="1"/>
  <c r="Z142" i="8"/>
  <c r="Z157" i="8"/>
  <c r="AB157" i="8"/>
  <c r="AC157" i="8" s="1"/>
  <c r="AE157" i="8"/>
  <c r="AF157" i="8" s="1"/>
  <c r="Z153" i="8"/>
  <c r="AE153" i="8"/>
  <c r="AF153" i="8" s="1"/>
  <c r="AB153" i="8"/>
  <c r="AC153" i="8" s="1"/>
  <c r="AB144" i="8"/>
  <c r="AC144" i="8" s="1"/>
  <c r="AE144" i="8"/>
  <c r="AF144" i="8" s="1"/>
  <c r="Z144" i="8"/>
  <c r="AB143" i="8"/>
  <c r="AC143" i="8" s="1"/>
  <c r="AE143" i="8"/>
  <c r="AF143" i="8" s="1"/>
  <c r="Z143" i="8"/>
  <c r="Z160" i="8"/>
  <c r="AB160" i="8"/>
  <c r="AC160" i="8" s="1"/>
  <c r="AE160" i="8"/>
  <c r="AF160" i="8" s="1"/>
  <c r="AE159" i="8"/>
  <c r="AF159" i="8" s="1"/>
  <c r="AB159" i="8"/>
  <c r="AC159" i="8" s="1"/>
  <c r="Z159" i="8"/>
  <c r="Z146" i="8"/>
  <c r="AB146" i="8"/>
  <c r="AC146" i="8" s="1"/>
  <c r="AE146" i="8"/>
  <c r="AF146" i="8" s="1"/>
  <c r="D29" i="6"/>
  <c r="D95" i="6" s="1"/>
  <c r="J95" i="6" s="1"/>
  <c r="K15" i="8"/>
  <c r="D32" i="6" s="1"/>
  <c r="AE155" i="8"/>
  <c r="AF155" i="8" s="1"/>
  <c r="Z155" i="8"/>
  <c r="AB155" i="8"/>
  <c r="AC155" i="8" s="1"/>
  <c r="AB150" i="8"/>
  <c r="AC150" i="8" s="1"/>
  <c r="AE150" i="8"/>
  <c r="AF150" i="8" s="1"/>
  <c r="Z150" i="8"/>
  <c r="Z154" i="8"/>
  <c r="AB154" i="8"/>
  <c r="AC154" i="8" s="1"/>
  <c r="AE154" i="8"/>
  <c r="AF154" i="8" s="1"/>
  <c r="Z148" i="8"/>
  <c r="AE148" i="8"/>
  <c r="AF148" i="8" s="1"/>
  <c r="AB148" i="8"/>
  <c r="AC148" i="8" s="1"/>
  <c r="AB161" i="8"/>
  <c r="AC161" i="8" s="1"/>
  <c r="Z161" i="8"/>
  <c r="AE161" i="8"/>
  <c r="AF161" i="8" s="1"/>
  <c r="AE162" i="8"/>
  <c r="AF162" i="8" s="1"/>
  <c r="Z162" i="8"/>
  <c r="AB162" i="8"/>
  <c r="AC162" i="8" s="1"/>
  <c r="AB156" i="8"/>
  <c r="AC156" i="8" s="1"/>
  <c r="Z156" i="8"/>
  <c r="AE156" i="8"/>
  <c r="AF156" i="8" s="1"/>
  <c r="AE147" i="8"/>
  <c r="AF147" i="8" s="1"/>
  <c r="Z147" i="8"/>
  <c r="AB147" i="8"/>
  <c r="AC147" i="8" s="1"/>
  <c r="AE158" i="8"/>
  <c r="AF158" i="8" s="1"/>
  <c r="Z158" i="8"/>
  <c r="AB158" i="8"/>
  <c r="AC158" i="8" s="1"/>
  <c r="AB152" i="8"/>
  <c r="AC152" i="8" s="1"/>
  <c r="AE152" i="8"/>
  <c r="AF152" i="8" s="1"/>
  <c r="Z152" i="8"/>
  <c r="AB145" i="8"/>
  <c r="AC145" i="8" s="1"/>
  <c r="Z145" i="8"/>
  <c r="AE145" i="8"/>
  <c r="AF145" i="8" s="1"/>
  <c r="W165" i="8" l="1"/>
  <c r="U165" i="8" s="1"/>
  <c r="W116" i="8"/>
  <c r="U116" i="8" s="1"/>
  <c r="W117" i="8"/>
  <c r="U117" i="8" s="1"/>
  <c r="W112" i="8"/>
  <c r="U112" i="8" s="1"/>
  <c r="W114" i="8"/>
  <c r="U114" i="8" s="1"/>
  <c r="W127" i="8"/>
  <c r="U127" i="8" s="1"/>
  <c r="W113" i="8"/>
  <c r="U113" i="8" s="1"/>
  <c r="W125" i="8"/>
  <c r="U125" i="8" s="1"/>
  <c r="W120" i="8"/>
  <c r="U120" i="8" s="1"/>
  <c r="W132" i="8"/>
  <c r="U132" i="8" s="1"/>
  <c r="W128" i="8"/>
  <c r="U128" i="8" s="1"/>
  <c r="W131" i="8"/>
  <c r="U131" i="8" s="1"/>
  <c r="W130" i="8"/>
  <c r="U130" i="8" s="1"/>
  <c r="W115" i="8"/>
  <c r="U115" i="8" s="1"/>
  <c r="W135" i="8"/>
  <c r="U135" i="8" s="1"/>
  <c r="W133" i="8"/>
  <c r="U133" i="8" s="1"/>
  <c r="W118" i="8"/>
  <c r="U118" i="8" s="1"/>
  <c r="W134" i="8"/>
  <c r="U134" i="8" s="1"/>
  <c r="W121" i="8"/>
  <c r="U121" i="8" s="1"/>
  <c r="W138" i="8"/>
  <c r="U138" i="8" s="1"/>
  <c r="H50" i="6" s="1"/>
  <c r="W123" i="8"/>
  <c r="U123" i="8" s="1"/>
  <c r="W136" i="8"/>
  <c r="U136" i="8" s="1"/>
  <c r="W119" i="8"/>
  <c r="U119" i="8" s="1"/>
  <c r="W139" i="8"/>
  <c r="U139" i="8" s="1"/>
  <c r="W122" i="8"/>
  <c r="U122" i="8" s="1"/>
  <c r="W137" i="8"/>
  <c r="U137" i="8" s="1"/>
  <c r="W126" i="8"/>
  <c r="U126" i="8" s="1"/>
  <c r="W141" i="8"/>
  <c r="U141" i="8" s="1"/>
  <c r="W124" i="8"/>
  <c r="U124" i="8" s="1"/>
  <c r="W140" i="8"/>
  <c r="U140" i="8" s="1"/>
  <c r="W129" i="8"/>
  <c r="U129" i="8" s="1"/>
  <c r="H54" i="6" s="1"/>
  <c r="W161" i="8"/>
  <c r="U161" i="8" s="1"/>
  <c r="W164" i="8"/>
  <c r="U164" i="8" s="1"/>
  <c r="W163" i="8"/>
  <c r="U163" i="8" s="1"/>
  <c r="W156" i="8"/>
  <c r="U156" i="8" s="1"/>
  <c r="W158" i="8"/>
  <c r="U158" i="8" s="1"/>
  <c r="W145" i="8"/>
  <c r="U145" i="8" s="1"/>
  <c r="W149" i="8"/>
  <c r="U149" i="8" s="1"/>
  <c r="W151" i="8"/>
  <c r="U151" i="8" s="1"/>
  <c r="W144" i="8"/>
  <c r="U144" i="8" s="1"/>
  <c r="W160" i="8"/>
  <c r="U160" i="8" s="1"/>
  <c r="W150" i="8"/>
  <c r="U150" i="8" s="1"/>
  <c r="W152" i="8"/>
  <c r="U152" i="8" s="1"/>
  <c r="W147" i="8"/>
  <c r="U147" i="8" s="1"/>
  <c r="W162" i="8"/>
  <c r="U162" i="8" s="1"/>
  <c r="W148" i="8"/>
  <c r="U148" i="8" s="1"/>
  <c r="W146" i="8"/>
  <c r="U146" i="8" s="1"/>
  <c r="W157" i="8"/>
  <c r="U157" i="8" s="1"/>
  <c r="W154" i="8"/>
  <c r="U154" i="8" s="1"/>
  <c r="W155" i="8"/>
  <c r="U155" i="8" s="1"/>
  <c r="W153" i="8"/>
  <c r="U153" i="8" s="1"/>
  <c r="W159" i="8"/>
  <c r="U159" i="8" s="1"/>
  <c r="W142" i="8"/>
  <c r="U142" i="8" s="1"/>
  <c r="W143" i="8"/>
  <c r="U143" i="8" s="1"/>
</calcChain>
</file>

<file path=xl/sharedStrings.xml><?xml version="1.0" encoding="utf-8"?>
<sst xmlns="http://schemas.openxmlformats.org/spreadsheetml/2006/main" count="431" uniqueCount="185">
  <si>
    <t>=</t>
  </si>
  <si>
    <t>L</t>
  </si>
  <si>
    <t>cu.ft.</t>
  </si>
  <si>
    <t>A</t>
  </si>
  <si>
    <t>B</t>
  </si>
  <si>
    <t>x</t>
  </si>
  <si>
    <t>y</t>
  </si>
  <si>
    <t>dX</t>
  </si>
  <si>
    <t>dY</t>
  </si>
  <si>
    <t>p</t>
  </si>
  <si>
    <t>Panels</t>
  </si>
  <si>
    <t>#</t>
  </si>
  <si>
    <t>d</t>
  </si>
  <si>
    <t>S1</t>
  </si>
  <si>
    <t>S4</t>
  </si>
  <si>
    <t>l.</t>
  </si>
  <si>
    <t>Vol. (net)</t>
  </si>
  <si>
    <t>Vol. (gross)</t>
  </si>
  <si>
    <t>cm^2</t>
  </si>
  <si>
    <t>l</t>
  </si>
  <si>
    <t>Advanced Centerline</t>
  </si>
  <si>
    <t>Driver</t>
  </si>
  <si>
    <t>cm</t>
  </si>
  <si>
    <t>L12</t>
  </si>
  <si>
    <t>Frame Width</t>
  </si>
  <si>
    <t>Magnet Width</t>
  </si>
  <si>
    <t>Magnet Height</t>
  </si>
  <si>
    <t>Plot</t>
  </si>
  <si>
    <t>Delta</t>
  </si>
  <si>
    <t>Mounting Width</t>
  </si>
  <si>
    <t>Panel B</t>
  </si>
  <si>
    <t>Panel F</t>
  </si>
  <si>
    <t>Panel H</t>
  </si>
  <si>
    <t>Panel I</t>
  </si>
  <si>
    <t>Mounting Depth</t>
  </si>
  <si>
    <t>v</t>
  </si>
  <si>
    <t>Panel D (back)</t>
  </si>
  <si>
    <t>Cos</t>
  </si>
  <si>
    <t>Sin</t>
  </si>
  <si>
    <t>Path Calculations</t>
  </si>
  <si>
    <t>dS</t>
  </si>
  <si>
    <t>S2</t>
  </si>
  <si>
    <t>dx</t>
  </si>
  <si>
    <t>dy</t>
  </si>
  <si>
    <t>S</t>
  </si>
  <si>
    <t>Pnl Vol</t>
  </si>
  <si>
    <t>L (actual)</t>
  </si>
  <si>
    <t>d (external)</t>
  </si>
  <si>
    <t>h (external)</t>
  </si>
  <si>
    <t>w (external)</t>
  </si>
  <si>
    <t>Panel C (top, bottom)</t>
  </si>
  <si>
    <t>Panel E (front)</t>
  </si>
  <si>
    <t>Face (1)</t>
  </si>
  <si>
    <t>S3</t>
  </si>
  <si>
    <t>S5</t>
  </si>
  <si>
    <t>L45</t>
  </si>
  <si>
    <t>L34</t>
  </si>
  <si>
    <t>L23</t>
  </si>
  <si>
    <t>in</t>
  </si>
  <si>
    <t>Panel B (1st inside)</t>
  </si>
  <si>
    <t>o</t>
  </si>
  <si>
    <t>Graph Axes</t>
  </si>
  <si>
    <t>Guides</t>
  </si>
  <si>
    <t>Sample points</t>
  </si>
  <si>
    <t>a1</t>
  </si>
  <si>
    <t>a2</t>
  </si>
  <si>
    <t>a3</t>
  </si>
  <si>
    <t>n</t>
  </si>
  <si>
    <t>HornResp Params</t>
  </si>
  <si>
    <t>Box Dimensions</t>
  </si>
  <si>
    <t>Driver Dimensions</t>
  </si>
  <si>
    <t>Horn Design</t>
  </si>
  <si>
    <t>Panel G1</t>
  </si>
  <si>
    <t>Intersection points</t>
  </si>
  <si>
    <t>Driver centerline</t>
  </si>
  <si>
    <t>x1</t>
  </si>
  <si>
    <t>y1</t>
  </si>
  <si>
    <t>x2</t>
  </si>
  <si>
    <t>y2</t>
  </si>
  <si>
    <t>a</t>
  </si>
  <si>
    <t>b</t>
  </si>
  <si>
    <t>Panel B (top)</t>
  </si>
  <si>
    <t>Panel B (bottom)</t>
  </si>
  <si>
    <t>Panel F (top)</t>
  </si>
  <si>
    <t>Panel G (top)</t>
  </si>
  <si>
    <t>driver offset (y)</t>
  </si>
  <si>
    <t>driver offset (x)</t>
  </si>
  <si>
    <t>S2 Section</t>
  </si>
  <si>
    <t>S2'</t>
  </si>
  <si>
    <t>Cone Comp.</t>
  </si>
  <si>
    <t>Panel B, driver baffle</t>
  </si>
  <si>
    <t>Panel A, top &amp; bottom</t>
  </si>
  <si>
    <t>Panel C, sides</t>
  </si>
  <si>
    <t>Panel D, back</t>
  </si>
  <si>
    <t>Panel E, front</t>
  </si>
  <si>
    <t>Panel F, 1st inside</t>
  </si>
  <si>
    <t>Front</t>
  </si>
  <si>
    <t>Back</t>
  </si>
  <si>
    <t>Instructions</t>
  </si>
  <si>
    <t>Draw out the guides on the side panels as illustrated. One panel must mirror the other</t>
  </si>
  <si>
    <t>Using the guides on the side panel, join the speaker baffle and all of the internal panels to the side panel.</t>
  </si>
  <si>
    <t xml:space="preserve">Join the front panel, top and bottom panels and back panels to the side panel to which the other panels have already been joined.  </t>
  </si>
  <si>
    <t xml:space="preserve">Double-check to ensure that all joins are airtight. </t>
  </si>
  <si>
    <t>Finally, join the remaining side panel to the rest of the box.  This should complete the build. Again, ensure that all joins are airtight.</t>
  </si>
  <si>
    <t>Bracing</t>
  </si>
  <si>
    <t>Guide 1</t>
  </si>
  <si>
    <t>Guide 2</t>
  </si>
  <si>
    <t>Suggested braces</t>
  </si>
  <si>
    <t>Guide 3</t>
  </si>
  <si>
    <t>Panel H, 4th inside</t>
  </si>
  <si>
    <t>Panel I, 5th inside</t>
  </si>
  <si>
    <t>Cut out and join all the rest of the bracing panels to the internal panels.</t>
  </si>
  <si>
    <t>cm^3</t>
  </si>
  <si>
    <t>Vtc</t>
  </si>
  <si>
    <t>Atc</t>
  </si>
  <si>
    <t>Cone Vol. Adj. (S2)</t>
  </si>
  <si>
    <t>Cone Volume</t>
  </si>
  <si>
    <t>CC1</t>
  </si>
  <si>
    <t>CC2</t>
  </si>
  <si>
    <t>Panel H (bottom)</t>
  </si>
  <si>
    <t>Panel I (bottom)</t>
  </si>
  <si>
    <t>Err</t>
  </si>
  <si>
    <t>Sample Point 42</t>
  </si>
  <si>
    <t>Tan</t>
  </si>
  <si>
    <t>1/2</t>
  </si>
  <si>
    <t>Exp.</t>
  </si>
  <si>
    <t>Cone Comp</t>
  </si>
  <si>
    <t>W</t>
  </si>
  <si>
    <t>Conical</t>
  </si>
  <si>
    <t>Exponential</t>
  </si>
  <si>
    <t>Error</t>
  </si>
  <si>
    <t>Panel A</t>
  </si>
  <si>
    <t>Panel G</t>
  </si>
  <si>
    <t>Panel G, 2nd inside</t>
  </si>
  <si>
    <t>1+2</t>
  </si>
  <si>
    <t>1-2</t>
  </si>
  <si>
    <t>Parabolic</t>
  </si>
  <si>
    <t>Filename</t>
  </si>
  <si>
    <t>ID</t>
  </si>
  <si>
    <t>29.00</t>
  </si>
  <si>
    <t>Ang</t>
  </si>
  <si>
    <t>2.0 x PI</t>
  </si>
  <si>
    <t>Eg</t>
  </si>
  <si>
    <t>Rg</t>
  </si>
  <si>
    <t>Fta</t>
  </si>
  <si>
    <t>Par</t>
  </si>
  <si>
    <t>F12</t>
  </si>
  <si>
    <t>F23</t>
  </si>
  <si>
    <t>F34</t>
  </si>
  <si>
    <t>F45</t>
  </si>
  <si>
    <t>Sd</t>
  </si>
  <si>
    <t>Bl</t>
  </si>
  <si>
    <t>Cms</t>
  </si>
  <si>
    <t>Rms</t>
  </si>
  <si>
    <t>Mmd</t>
  </si>
  <si>
    <t>Le</t>
  </si>
  <si>
    <t>Re</t>
  </si>
  <si>
    <t>TH</t>
  </si>
  <si>
    <t>Vrc</t>
  </si>
  <si>
    <t>Lrc</t>
  </si>
  <si>
    <t>Ap1</t>
  </si>
  <si>
    <t>Lp</t>
  </si>
  <si>
    <t>Pmax</t>
  </si>
  <si>
    <t>Xmax</t>
  </si>
  <si>
    <t>Comment</t>
  </si>
  <si>
    <t>Ideal box width</t>
  </si>
  <si>
    <t>I:\Users\Brian.Steele\OneDrive\Hornresp\Import\BOXPLAN.TXT</t>
  </si>
  <si>
    <t>Compression ratio</t>
  </si>
  <si>
    <t>Equivalent CSA.</t>
  </si>
  <si>
    <t>Expansion 1 (S2-S3)</t>
  </si>
  <si>
    <t>Expansion 2 (S3-S5)</t>
  </si>
  <si>
    <t>Target</t>
  </si>
  <si>
    <t>S2-S3 expansion</t>
  </si>
  <si>
    <t>Par, Con, Exp</t>
  </si>
  <si>
    <t>S2-S3 Exp</t>
  </si>
  <si>
    <t>Expansion</t>
  </si>
  <si>
    <t>Panel J, 6th inside</t>
  </si>
  <si>
    <t>Panel K, 7th inside</t>
  </si>
  <si>
    <t>Panel J</t>
  </si>
  <si>
    <t>Panel K</t>
  </si>
  <si>
    <t>MWTH Version</t>
  </si>
  <si>
    <t>Panel</t>
  </si>
  <si>
    <t>Guide</t>
  </si>
  <si>
    <t>0.3 BETA</t>
  </si>
  <si>
    <t>BOXPLAN-Export (MWTH v0.3)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</si>
</sst>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"/>
  </numFmts>
  <fonts count="1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color rgb="FF0033CC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0" xfId="0" applyFont="1"/>
    <xf numFmtId="0" fontId="2" fillId="2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4" borderId="3" xfId="0" applyFont="1" applyFill="1" applyBorder="1"/>
    <xf numFmtId="0" fontId="3" fillId="4" borderId="7" xfId="0" applyFont="1" applyFill="1" applyBorder="1"/>
    <xf numFmtId="164" fontId="3" fillId="4" borderId="7" xfId="0" applyNumberFormat="1" applyFont="1" applyFill="1" applyBorder="1" applyAlignment="1"/>
    <xf numFmtId="0" fontId="3" fillId="4" borderId="7" xfId="0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164" fontId="3" fillId="4" borderId="8" xfId="0" applyNumberFormat="1" applyFont="1" applyFill="1" applyBorder="1" applyAlignment="1"/>
    <xf numFmtId="0" fontId="3" fillId="4" borderId="9" xfId="0" applyFont="1" applyFill="1" applyBorder="1"/>
    <xf numFmtId="0" fontId="3" fillId="4" borderId="0" xfId="0" applyFont="1" applyFill="1" applyBorder="1"/>
    <xf numFmtId="164" fontId="3" fillId="4" borderId="0" xfId="0" applyNumberFormat="1" applyFont="1" applyFill="1" applyBorder="1" applyAlignment="1"/>
    <xf numFmtId="0" fontId="3" fillId="4" borderId="0" xfId="0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/>
    <xf numFmtId="0" fontId="3" fillId="4" borderId="11" xfId="0" applyFont="1" applyFill="1" applyBorder="1"/>
    <xf numFmtId="0" fontId="3" fillId="4" borderId="12" xfId="0" applyFont="1" applyFill="1" applyBorder="1"/>
    <xf numFmtId="164" fontId="3" fillId="4" borderId="12" xfId="0" applyNumberFormat="1" applyFont="1" applyFill="1" applyBorder="1"/>
    <xf numFmtId="164" fontId="3" fillId="4" borderId="12" xfId="0" applyNumberFormat="1" applyFont="1" applyFill="1" applyBorder="1" applyAlignment="1">
      <alignment horizontal="center"/>
    </xf>
    <xf numFmtId="164" fontId="3" fillId="4" borderId="12" xfId="0" applyNumberFormat="1" applyFont="1" applyFill="1" applyBorder="1" applyAlignment="1"/>
    <xf numFmtId="1" fontId="2" fillId="0" borderId="0" xfId="0" applyNumberFormat="1" applyFont="1"/>
    <xf numFmtId="0" fontId="2" fillId="0" borderId="4" xfId="0" applyFont="1" applyBorder="1"/>
    <xf numFmtId="0" fontId="2" fillId="0" borderId="5" xfId="0" applyFont="1" applyBorder="1"/>
    <xf numFmtId="0" fontId="1" fillId="0" borderId="2" xfId="0" applyFont="1" applyBorder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2" fillId="0" borderId="16" xfId="0" applyNumberFormat="1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0" fontId="2" fillId="8" borderId="1" xfId="0" applyFont="1" applyFill="1" applyBorder="1"/>
    <xf numFmtId="0" fontId="2" fillId="8" borderId="2" xfId="0" applyFont="1" applyFill="1" applyBorder="1"/>
    <xf numFmtId="164" fontId="2" fillId="8" borderId="14" xfId="0" applyNumberFormat="1" applyFont="1" applyFill="1" applyBorder="1"/>
    <xf numFmtId="0" fontId="2" fillId="9" borderId="1" xfId="0" applyFont="1" applyFill="1" applyBorder="1"/>
    <xf numFmtId="0" fontId="2" fillId="9" borderId="2" xfId="0" applyFont="1" applyFill="1" applyBorder="1"/>
    <xf numFmtId="0" fontId="2" fillId="9" borderId="19" xfId="0" applyFont="1" applyFill="1" applyBorder="1"/>
    <xf numFmtId="0" fontId="2" fillId="9" borderId="20" xfId="0" applyFont="1" applyFill="1" applyBorder="1"/>
    <xf numFmtId="0" fontId="2" fillId="10" borderId="4" xfId="0" applyFont="1" applyFill="1" applyBorder="1"/>
    <xf numFmtId="0" fontId="2" fillId="10" borderId="5" xfId="0" applyFont="1" applyFill="1" applyBorder="1"/>
    <xf numFmtId="1" fontId="2" fillId="10" borderId="5" xfId="0" applyNumberFormat="1" applyFont="1" applyFill="1" applyBorder="1"/>
    <xf numFmtId="0" fontId="3" fillId="10" borderId="5" xfId="0" applyFont="1" applyFill="1" applyBorder="1"/>
    <xf numFmtId="2" fontId="2" fillId="10" borderId="5" xfId="0" applyNumberFormat="1" applyFont="1" applyFill="1" applyBorder="1"/>
    <xf numFmtId="0" fontId="1" fillId="10" borderId="5" xfId="0" applyFont="1" applyFill="1" applyBorder="1"/>
    <xf numFmtId="0" fontId="1" fillId="10" borderId="6" xfId="0" applyFont="1" applyFill="1" applyBorder="1"/>
    <xf numFmtId="0" fontId="2" fillId="10" borderId="21" xfId="0" applyFont="1" applyFill="1" applyBorder="1"/>
    <xf numFmtId="0" fontId="2" fillId="10" borderId="0" xfId="0" applyFont="1" applyFill="1" applyBorder="1"/>
    <xf numFmtId="1" fontId="2" fillId="10" borderId="0" xfId="0" applyNumberFormat="1" applyFont="1" applyFill="1" applyBorder="1"/>
    <xf numFmtId="0" fontId="3" fillId="10" borderId="0" xfId="0" applyFont="1" applyFill="1" applyBorder="1"/>
    <xf numFmtId="2" fontId="2" fillId="10" borderId="0" xfId="0" applyNumberFormat="1" applyFont="1" applyFill="1" applyBorder="1"/>
    <xf numFmtId="0" fontId="1" fillId="10" borderId="0" xfId="0" applyFont="1" applyFill="1" applyBorder="1"/>
    <xf numFmtId="0" fontId="1" fillId="10" borderId="22" xfId="0" applyFont="1" applyFill="1" applyBorder="1"/>
    <xf numFmtId="0" fontId="2" fillId="10" borderId="0" xfId="0" applyFont="1" applyFill="1" applyBorder="1" applyAlignment="1">
      <alignment horizontal="center"/>
    </xf>
    <xf numFmtId="0" fontId="2" fillId="10" borderId="22" xfId="0" applyFont="1" applyFill="1" applyBorder="1"/>
    <xf numFmtId="164" fontId="2" fillId="10" borderId="0" xfId="0" applyNumberFormat="1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10" borderId="22" xfId="0" applyFont="1" applyFill="1" applyBorder="1"/>
    <xf numFmtId="0" fontId="1" fillId="10" borderId="21" xfId="0" applyFont="1" applyFill="1" applyBorder="1"/>
    <xf numFmtId="0" fontId="2" fillId="10" borderId="19" xfId="0" applyFont="1" applyFill="1" applyBorder="1"/>
    <xf numFmtId="0" fontId="1" fillId="10" borderId="20" xfId="0" applyFont="1" applyFill="1" applyBorder="1"/>
    <xf numFmtId="164" fontId="2" fillId="10" borderId="20" xfId="0" applyNumberFormat="1" applyFont="1" applyFill="1" applyBorder="1" applyAlignment="1">
      <alignment horizontal="center"/>
    </xf>
    <xf numFmtId="0" fontId="2" fillId="10" borderId="20" xfId="0" applyFont="1" applyFill="1" applyBorder="1"/>
    <xf numFmtId="164" fontId="2" fillId="10" borderId="20" xfId="0" applyNumberFormat="1" applyFont="1" applyFill="1" applyBorder="1"/>
    <xf numFmtId="0" fontId="1" fillId="10" borderId="23" xfId="0" applyFont="1" applyFill="1" applyBorder="1"/>
    <xf numFmtId="164" fontId="7" fillId="0" borderId="15" xfId="0" applyNumberFormat="1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Protection="1">
      <protection locked="0"/>
    </xf>
    <xf numFmtId="164" fontId="4" fillId="0" borderId="14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2" fontId="3" fillId="0" borderId="0" xfId="0" applyNumberFormat="1" applyFont="1" applyAlignment="1">
      <alignment horizontal="center"/>
    </xf>
    <xf numFmtId="0" fontId="3" fillId="2" borderId="7" xfId="0" applyFont="1" applyFill="1" applyBorder="1"/>
    <xf numFmtId="164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3" fillId="2" borderId="7" xfId="0" applyNumberFormat="1" applyFont="1" applyFill="1" applyBorder="1" applyAlignment="1"/>
    <xf numFmtId="164" fontId="3" fillId="2" borderId="8" xfId="0" applyNumberFormat="1" applyFont="1" applyFill="1" applyBorder="1" applyAlignment="1"/>
    <xf numFmtId="0" fontId="3" fillId="2" borderId="9" xfId="0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/>
    <xf numFmtId="164" fontId="3" fillId="2" borderId="10" xfId="0" applyNumberFormat="1" applyFont="1" applyFill="1" applyBorder="1" applyAlignment="1"/>
    <xf numFmtId="0" fontId="3" fillId="2" borderId="11" xfId="0" applyFont="1" applyFill="1" applyBorder="1"/>
    <xf numFmtId="0" fontId="3" fillId="2" borderId="12" xfId="0" applyFont="1" applyFill="1" applyBorder="1"/>
    <xf numFmtId="164" fontId="3" fillId="2" borderId="1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/>
    <xf numFmtId="0" fontId="3" fillId="2" borderId="13" xfId="0" applyFont="1" applyFill="1" applyBorder="1"/>
    <xf numFmtId="165" fontId="3" fillId="0" borderId="0" xfId="0" applyNumberFormat="1" applyFont="1"/>
    <xf numFmtId="0" fontId="3" fillId="0" borderId="0" xfId="0" applyFont="1" applyAlignment="1">
      <alignment horizontal="center"/>
    </xf>
    <xf numFmtId="164" fontId="3" fillId="2" borderId="13" xfId="0" applyNumberFormat="1" applyFont="1" applyFill="1" applyBorder="1" applyAlignment="1"/>
    <xf numFmtId="0" fontId="3" fillId="2" borderId="12" xfId="0" applyFont="1" applyFill="1" applyBorder="1" applyAlignment="1">
      <alignment horizontal="center"/>
    </xf>
    <xf numFmtId="164" fontId="3" fillId="4" borderId="13" xfId="0" applyNumberFormat="1" applyFont="1" applyFill="1" applyBorder="1"/>
    <xf numFmtId="2" fontId="3" fillId="0" borderId="0" xfId="0" applyNumberFormat="1" applyFont="1"/>
    <xf numFmtId="1" fontId="3" fillId="0" borderId="0" xfId="0" applyNumberFormat="1" applyFont="1"/>
    <xf numFmtId="164" fontId="3" fillId="6" borderId="3" xfId="0" applyNumberFormat="1" applyFont="1" applyFill="1" applyBorder="1"/>
    <xf numFmtId="164" fontId="3" fillId="6" borderId="7" xfId="0" applyNumberFormat="1" applyFont="1" applyFill="1" applyBorder="1"/>
    <xf numFmtId="0" fontId="3" fillId="6" borderId="7" xfId="0" applyFont="1" applyFill="1" applyBorder="1"/>
    <xf numFmtId="164" fontId="3" fillId="6" borderId="9" xfId="0" applyNumberFormat="1" applyFont="1" applyFill="1" applyBorder="1"/>
    <xf numFmtId="164" fontId="3" fillId="6" borderId="0" xfId="0" applyNumberFormat="1" applyFont="1" applyFill="1" applyBorder="1"/>
    <xf numFmtId="0" fontId="3" fillId="6" borderId="0" xfId="0" applyFont="1" applyFill="1" applyBorder="1"/>
    <xf numFmtId="0" fontId="3" fillId="6" borderId="9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164" fontId="3" fillId="6" borderId="0" xfId="0" applyNumberFormat="1" applyFont="1" applyFill="1" applyBorder="1" applyAlignment="1">
      <alignment horizontal="center"/>
    </xf>
    <xf numFmtId="1" fontId="3" fillId="6" borderId="0" xfId="0" applyNumberFormat="1" applyFont="1" applyFill="1" applyBorder="1"/>
    <xf numFmtId="1" fontId="3" fillId="6" borderId="10" xfId="0" applyNumberFormat="1" applyFont="1" applyFill="1" applyBorder="1"/>
    <xf numFmtId="1" fontId="3" fillId="6" borderId="7" xfId="0" applyNumberFormat="1" applyFont="1" applyFill="1" applyBorder="1"/>
    <xf numFmtId="1" fontId="3" fillId="6" borderId="8" xfId="0" applyNumberFormat="1" applyFont="1" applyFill="1" applyBorder="1"/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164" fontId="3" fillId="6" borderId="12" xfId="0" applyNumberFormat="1" applyFont="1" applyFill="1" applyBorder="1" applyAlignment="1">
      <alignment horizontal="center"/>
    </xf>
    <xf numFmtId="164" fontId="3" fillId="6" borderId="12" xfId="0" applyNumberFormat="1" applyFont="1" applyFill="1" applyBorder="1"/>
    <xf numFmtId="0" fontId="3" fillId="6" borderId="9" xfId="0" applyFont="1" applyFill="1" applyBorder="1"/>
    <xf numFmtId="0" fontId="3" fillId="6" borderId="11" xfId="0" applyFont="1" applyFill="1" applyBorder="1"/>
    <xf numFmtId="0" fontId="3" fillId="6" borderId="12" xfId="0" applyFont="1" applyFill="1" applyBorder="1"/>
    <xf numFmtId="164" fontId="3" fillId="12" borderId="9" xfId="0" applyNumberFormat="1" applyFont="1" applyFill="1" applyBorder="1"/>
    <xf numFmtId="164" fontId="3" fillId="12" borderId="0" xfId="0" applyNumberFormat="1" applyFont="1" applyFill="1" applyBorder="1"/>
    <xf numFmtId="0" fontId="3" fillId="12" borderId="0" xfId="0" applyFont="1" applyFill="1" applyBorder="1"/>
    <xf numFmtId="0" fontId="3" fillId="12" borderId="0" xfId="0" applyFont="1" applyFill="1" applyBorder="1" applyAlignment="1">
      <alignment horizontal="center"/>
    </xf>
    <xf numFmtId="164" fontId="3" fillId="12" borderId="0" xfId="0" applyNumberFormat="1" applyFont="1" applyFill="1" applyBorder="1" applyAlignment="1">
      <alignment horizontal="center"/>
    </xf>
    <xf numFmtId="0" fontId="3" fillId="12" borderId="11" xfId="0" applyFont="1" applyFill="1" applyBorder="1"/>
    <xf numFmtId="0" fontId="3" fillId="12" borderId="12" xfId="0" applyFont="1" applyFill="1" applyBorder="1"/>
    <xf numFmtId="164" fontId="3" fillId="12" borderId="12" xfId="0" applyNumberFormat="1" applyFont="1" applyFill="1" applyBorder="1"/>
    <xf numFmtId="164" fontId="3" fillId="12" borderId="3" xfId="0" applyNumberFormat="1" applyFont="1" applyFill="1" applyBorder="1"/>
    <xf numFmtId="0" fontId="3" fillId="12" borderId="7" xfId="0" applyFont="1" applyFill="1" applyBorder="1"/>
    <xf numFmtId="164" fontId="3" fillId="12" borderId="7" xfId="0" applyNumberFormat="1" applyFont="1" applyFill="1" applyBorder="1"/>
    <xf numFmtId="164" fontId="3" fillId="5" borderId="3" xfId="0" applyNumberFormat="1" applyFont="1" applyFill="1" applyBorder="1"/>
    <xf numFmtId="164" fontId="3" fillId="5" borderId="7" xfId="0" applyNumberFormat="1" applyFont="1" applyFill="1" applyBorder="1"/>
    <xf numFmtId="0" fontId="3" fillId="5" borderId="7" xfId="0" applyFont="1" applyFill="1" applyBorder="1"/>
    <xf numFmtId="1" fontId="3" fillId="5" borderId="8" xfId="0" applyNumberFormat="1" applyFont="1" applyFill="1" applyBorder="1"/>
    <xf numFmtId="164" fontId="3" fillId="5" borderId="9" xfId="0" applyNumberFormat="1" applyFont="1" applyFill="1" applyBorder="1"/>
    <xf numFmtId="164" fontId="3" fillId="5" borderId="0" xfId="0" applyNumberFormat="1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" fontId="3" fillId="5" borderId="10" xfId="0" applyNumberFormat="1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164" fontId="3" fillId="5" borderId="12" xfId="0" applyNumberFormat="1" applyFont="1" applyFill="1" applyBorder="1"/>
    <xf numFmtId="1" fontId="3" fillId="5" borderId="13" xfId="0" applyNumberFormat="1" applyFont="1" applyFill="1" applyBorder="1"/>
    <xf numFmtId="164" fontId="3" fillId="6" borderId="8" xfId="0" applyNumberFormat="1" applyFont="1" applyFill="1" applyBorder="1"/>
    <xf numFmtId="164" fontId="3" fillId="6" borderId="10" xfId="0" applyNumberFormat="1" applyFont="1" applyFill="1" applyBorder="1"/>
    <xf numFmtId="164" fontId="3" fillId="6" borderId="13" xfId="0" applyNumberFormat="1" applyFont="1" applyFill="1" applyBorder="1"/>
    <xf numFmtId="0" fontId="2" fillId="13" borderId="5" xfId="0" applyFont="1" applyFill="1" applyBorder="1" applyAlignment="1"/>
    <xf numFmtId="0" fontId="0" fillId="13" borderId="5" xfId="0" applyFill="1" applyBorder="1" applyAlignment="1"/>
    <xf numFmtId="0" fontId="0" fillId="13" borderId="6" xfId="0" applyFill="1" applyBorder="1" applyAlignment="1"/>
    <xf numFmtId="0" fontId="2" fillId="13" borderId="0" xfId="0" applyFont="1" applyFill="1" applyBorder="1" applyAlignment="1"/>
    <xf numFmtId="0" fontId="0" fillId="13" borderId="0" xfId="0" applyFill="1" applyBorder="1" applyAlignment="1"/>
    <xf numFmtId="0" fontId="0" fillId="13" borderId="22" xfId="0" applyFill="1" applyBorder="1" applyAlignment="1"/>
    <xf numFmtId="0" fontId="2" fillId="13" borderId="19" xfId="0" applyFont="1" applyFill="1" applyBorder="1" applyAlignment="1"/>
    <xf numFmtId="0" fontId="0" fillId="13" borderId="20" xfId="0" applyFill="1" applyBorder="1" applyAlignment="1"/>
    <xf numFmtId="0" fontId="0" fillId="13" borderId="23" xfId="0" applyFill="1" applyBorder="1" applyAlignment="1"/>
    <xf numFmtId="164" fontId="4" fillId="0" borderId="14" xfId="0" applyNumberFormat="1" applyFont="1" applyFill="1" applyBorder="1" applyProtection="1">
      <protection locked="0"/>
    </xf>
    <xf numFmtId="164" fontId="3" fillId="0" borderId="0" xfId="0" applyNumberFormat="1" applyFont="1" applyAlignme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6" fillId="0" borderId="0" xfId="0" applyFont="1"/>
    <xf numFmtId="0" fontId="5" fillId="0" borderId="15" xfId="0" applyFont="1" applyBorder="1" applyAlignment="1">
      <alignment vertical="top"/>
    </xf>
    <xf numFmtId="0" fontId="5" fillId="0" borderId="15" xfId="0" applyFont="1" applyBorder="1" applyAlignment="1">
      <alignment wrapText="1"/>
    </xf>
    <xf numFmtId="164" fontId="3" fillId="6" borderId="11" xfId="0" applyNumberFormat="1" applyFont="1" applyFill="1" applyBorder="1" applyAlignment="1"/>
    <xf numFmtId="164" fontId="3" fillId="6" borderId="12" xfId="0" applyNumberFormat="1" applyFont="1" applyFill="1" applyBorder="1" applyAlignment="1"/>
    <xf numFmtId="164" fontId="3" fillId="6" borderId="11" xfId="0" applyNumberFormat="1" applyFont="1" applyFill="1" applyBorder="1"/>
    <xf numFmtId="164" fontId="2" fillId="0" borderId="14" xfId="0" applyNumberFormat="1" applyFont="1" applyFill="1" applyBorder="1"/>
    <xf numFmtId="164" fontId="8" fillId="0" borderId="14" xfId="0" applyNumberFormat="1" applyFont="1" applyBorder="1" applyProtection="1"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164" fontId="4" fillId="9" borderId="14" xfId="0" applyNumberFormat="1" applyFont="1" applyFill="1" applyBorder="1" applyProtection="1">
      <protection locked="0"/>
    </xf>
    <xf numFmtId="164" fontId="4" fillId="9" borderId="23" xfId="0" applyNumberFormat="1" applyFont="1" applyFill="1" applyBorder="1" applyProtection="1">
      <protection locked="0"/>
    </xf>
    <xf numFmtId="164" fontId="2" fillId="0" borderId="0" xfId="0" applyNumberFormat="1" applyFont="1" applyAlignment="1">
      <alignment horizontal="center"/>
    </xf>
    <xf numFmtId="2" fontId="3" fillId="6" borderId="0" xfId="0" applyNumberFormat="1" applyFont="1" applyFill="1" applyBorder="1"/>
    <xf numFmtId="0" fontId="3" fillId="10" borderId="15" xfId="0" applyFont="1" applyFill="1" applyBorder="1" applyAlignment="1">
      <alignment horizontal="center"/>
    </xf>
    <xf numFmtId="164" fontId="3" fillId="10" borderId="15" xfId="0" applyNumberFormat="1" applyFont="1" applyFill="1" applyBorder="1" applyAlignment="1">
      <alignment horizontal="center"/>
    </xf>
    <xf numFmtId="2" fontId="3" fillId="6" borderId="12" xfId="0" applyNumberFormat="1" applyFont="1" applyFill="1" applyBorder="1"/>
    <xf numFmtId="0" fontId="2" fillId="7" borderId="15" xfId="0" applyFont="1" applyFill="1" applyBorder="1" applyAlignment="1">
      <alignment horizontal="center"/>
    </xf>
    <xf numFmtId="2" fontId="3" fillId="11" borderId="15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6" fontId="2" fillId="0" borderId="15" xfId="0" quotePrefix="1" applyNumberFormat="1" applyFont="1" applyBorder="1" applyAlignment="1">
      <alignment horizontal="center"/>
    </xf>
    <xf numFmtId="0" fontId="2" fillId="7" borderId="15" xfId="0" quotePrefix="1" applyFont="1" applyFill="1" applyBorder="1" applyAlignment="1">
      <alignment horizontal="center"/>
    </xf>
    <xf numFmtId="164" fontId="2" fillId="14" borderId="15" xfId="0" applyNumberFormat="1" applyFont="1" applyFill="1" applyBorder="1" applyAlignment="1">
      <alignment horizontal="center"/>
    </xf>
    <xf numFmtId="1" fontId="1" fillId="0" borderId="0" xfId="0" applyNumberFormat="1" applyFont="1"/>
    <xf numFmtId="165" fontId="1" fillId="0" borderId="0" xfId="0" applyNumberFormat="1" applyFont="1"/>
    <xf numFmtId="164" fontId="3" fillId="6" borderId="9" xfId="0" applyNumberFormat="1" applyFont="1" applyFill="1" applyBorder="1" applyAlignment="1">
      <alignment horizontal="right"/>
    </xf>
    <xf numFmtId="164" fontId="3" fillId="6" borderId="0" xfId="0" applyNumberFormat="1" applyFont="1" applyFill="1" applyBorder="1" applyAlignment="1">
      <alignment horizontal="right"/>
    </xf>
    <xf numFmtId="164" fontId="8" fillId="15" borderId="14" xfId="0" applyNumberFormat="1" applyFont="1" applyFill="1" applyBorder="1" applyProtection="1">
      <protection locked="0"/>
    </xf>
    <xf numFmtId="164" fontId="8" fillId="0" borderId="15" xfId="0" applyNumberFormat="1" applyFont="1" applyBorder="1" applyAlignment="1" applyProtection="1">
      <alignment horizontal="center"/>
      <protection locked="0"/>
    </xf>
    <xf numFmtId="0" fontId="3" fillId="8" borderId="9" xfId="0" applyFont="1" applyFill="1" applyBorder="1"/>
    <xf numFmtId="0" fontId="3" fillId="8" borderId="10" xfId="0" applyFont="1" applyFill="1" applyBorder="1"/>
    <xf numFmtId="1" fontId="3" fillId="8" borderId="9" xfId="0" applyNumberFormat="1" applyFont="1" applyFill="1" applyBorder="1"/>
    <xf numFmtId="1" fontId="3" fillId="8" borderId="10" xfId="0" applyNumberFormat="1" applyFont="1" applyFill="1" applyBorder="1"/>
    <xf numFmtId="1" fontId="3" fillId="8" borderId="11" xfId="0" applyNumberFormat="1" applyFont="1" applyFill="1" applyBorder="1"/>
    <xf numFmtId="1" fontId="3" fillId="8" borderId="13" xfId="0" applyNumberFormat="1" applyFont="1" applyFill="1" applyBorder="1"/>
    <xf numFmtId="1" fontId="3" fillId="11" borderId="9" xfId="0" applyNumberFormat="1" applyFont="1" applyFill="1" applyBorder="1"/>
    <xf numFmtId="1" fontId="3" fillId="11" borderId="10" xfId="0" applyNumberFormat="1" applyFont="1" applyFill="1" applyBorder="1"/>
    <xf numFmtId="1" fontId="3" fillId="16" borderId="9" xfId="0" applyNumberFormat="1" applyFont="1" applyFill="1" applyBorder="1"/>
    <xf numFmtId="1" fontId="3" fillId="16" borderId="10" xfId="0" applyNumberFormat="1" applyFont="1" applyFill="1" applyBorder="1"/>
    <xf numFmtId="0" fontId="1" fillId="10" borderId="25" xfId="0" applyFont="1" applyFill="1" applyBorder="1"/>
    <xf numFmtId="0" fontId="1" fillId="10" borderId="15" xfId="0" applyFont="1" applyFill="1" applyBorder="1"/>
    <xf numFmtId="164" fontId="1" fillId="0" borderId="0" xfId="0" applyNumberFormat="1" applyFont="1" applyAlignment="1">
      <alignment horizontal="left"/>
    </xf>
    <xf numFmtId="164" fontId="2" fillId="0" borderId="14" xfId="0" applyNumberFormat="1" applyFont="1" applyBorder="1"/>
    <xf numFmtId="2" fontId="2" fillId="10" borderId="0" xfId="0" applyNumberFormat="1" applyFont="1" applyFill="1" applyBorder="1" applyAlignment="1">
      <alignment horizontal="center"/>
    </xf>
    <xf numFmtId="0" fontId="3" fillId="0" borderId="28" xfId="0" applyFont="1" applyBorder="1"/>
    <xf numFmtId="164" fontId="3" fillId="0" borderId="28" xfId="0" applyNumberFormat="1" applyFont="1" applyBorder="1"/>
    <xf numFmtId="164" fontId="8" fillId="0" borderId="14" xfId="0" applyNumberFormat="1" applyFont="1" applyFill="1" applyBorder="1" applyAlignment="1" applyProtection="1">
      <alignment horizontal="right"/>
      <protection locked="0"/>
    </xf>
    <xf numFmtId="1" fontId="3" fillId="0" borderId="28" xfId="0" applyNumberFormat="1" applyFont="1" applyBorder="1"/>
    <xf numFmtId="0" fontId="3" fillId="0" borderId="9" xfId="0" applyFont="1" applyBorder="1"/>
    <xf numFmtId="0" fontId="3" fillId="0" borderId="10" xfId="0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164" fontId="3" fillId="0" borderId="9" xfId="0" applyNumberFormat="1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164" fontId="3" fillId="0" borderId="13" xfId="0" applyNumberFormat="1" applyFont="1" applyBorder="1"/>
    <xf numFmtId="0" fontId="2" fillId="17" borderId="15" xfId="0" applyFont="1" applyFill="1" applyBorder="1" applyAlignment="1">
      <alignment horizontal="center"/>
    </xf>
    <xf numFmtId="0" fontId="3" fillId="17" borderId="28" xfId="0" applyFont="1" applyFill="1" applyBorder="1"/>
    <xf numFmtId="164" fontId="3" fillId="17" borderId="28" xfId="0" applyNumberFormat="1" applyFont="1" applyFill="1" applyBorder="1"/>
    <xf numFmtId="164" fontId="3" fillId="17" borderId="29" xfId="0" applyNumberFormat="1" applyFont="1" applyFill="1" applyBorder="1"/>
    <xf numFmtId="1" fontId="3" fillId="0" borderId="29" xfId="0" applyNumberFormat="1" applyFont="1" applyBorder="1"/>
    <xf numFmtId="0" fontId="3" fillId="11" borderId="3" xfId="0" applyFont="1" applyFill="1" applyBorder="1"/>
    <xf numFmtId="0" fontId="3" fillId="11" borderId="8" xfId="0" applyFont="1" applyFill="1" applyBorder="1"/>
    <xf numFmtId="0" fontId="3" fillId="16" borderId="3" xfId="0" applyFont="1" applyFill="1" applyBorder="1"/>
    <xf numFmtId="0" fontId="3" fillId="16" borderId="8" xfId="0" applyFont="1" applyFill="1" applyBorder="1"/>
    <xf numFmtId="164" fontId="1" fillId="10" borderId="25" xfId="0" applyNumberFormat="1" applyFont="1" applyFill="1" applyBorder="1"/>
    <xf numFmtId="0" fontId="2" fillId="0" borderId="25" xfId="0" applyFont="1" applyBorder="1" applyAlignment="1">
      <alignment horizontal="center"/>
    </xf>
    <xf numFmtId="1" fontId="3" fillId="0" borderId="11" xfId="0" applyNumberFormat="1" applyFont="1" applyBorder="1"/>
    <xf numFmtId="0" fontId="2" fillId="13" borderId="21" xfId="0" applyFont="1" applyFill="1" applyBorder="1" applyAlignment="1"/>
    <xf numFmtId="0" fontId="2" fillId="0" borderId="0" xfId="0" applyFont="1" applyBorder="1"/>
    <xf numFmtId="164" fontId="4" fillId="0" borderId="0" xfId="0" applyNumberFormat="1" applyFont="1" applyBorder="1" applyProtection="1">
      <protection locked="0"/>
    </xf>
    <xf numFmtId="164" fontId="2" fillId="0" borderId="0" xfId="0" applyNumberFormat="1" applyFont="1" applyBorder="1"/>
    <xf numFmtId="0" fontId="3" fillId="6" borderId="7" xfId="0" applyFont="1" applyFill="1" applyBorder="1" applyAlignment="1">
      <alignment horizontal="center"/>
    </xf>
    <xf numFmtId="2" fontId="12" fillId="10" borderId="0" xfId="0" applyNumberFormat="1" applyFont="1" applyFill="1" applyBorder="1"/>
    <xf numFmtId="2" fontId="9" fillId="10" borderId="0" xfId="0" applyNumberFormat="1" applyFont="1" applyFill="1" applyBorder="1" applyAlignment="1">
      <alignment horizontal="center"/>
    </xf>
    <xf numFmtId="2" fontId="12" fillId="10" borderId="0" xfId="0" applyNumberFormat="1" applyFont="1" applyFill="1" applyBorder="1" applyAlignment="1">
      <alignment horizontal="center"/>
    </xf>
    <xf numFmtId="0" fontId="1" fillId="10" borderId="25" xfId="0" quotePrefix="1" applyFont="1" applyFill="1" applyBorder="1" applyAlignment="1"/>
    <xf numFmtId="0" fontId="1" fillId="10" borderId="27" xfId="0" quotePrefix="1" applyFont="1" applyFill="1" applyBorder="1" applyAlignment="1"/>
    <xf numFmtId="0" fontId="1" fillId="10" borderId="26" xfId="0" quotePrefix="1" applyFont="1" applyFill="1" applyBorder="1" applyAlignment="1"/>
    <xf numFmtId="0" fontId="8" fillId="0" borderId="25" xfId="0" quotePrefix="1" applyFont="1" applyBorder="1" applyAlignment="1" applyProtection="1">
      <protection locked="0"/>
    </xf>
    <xf numFmtId="0" fontId="8" fillId="0" borderId="27" xfId="0" quotePrefix="1" applyFont="1" applyBorder="1" applyAlignment="1" applyProtection="1">
      <protection locked="0"/>
    </xf>
    <xf numFmtId="0" fontId="8" fillId="0" borderId="26" xfId="0" quotePrefix="1" applyFont="1" applyBorder="1" applyAlignment="1" applyProtection="1">
      <protection locked="0"/>
    </xf>
    <xf numFmtId="164" fontId="1" fillId="10" borderId="25" xfId="0" quotePrefix="1" applyNumberFormat="1" applyFont="1" applyFill="1" applyBorder="1" applyAlignment="1"/>
    <xf numFmtId="164" fontId="1" fillId="10" borderId="27" xfId="0" quotePrefix="1" applyNumberFormat="1" applyFont="1" applyFill="1" applyBorder="1" applyAlignment="1"/>
    <xf numFmtId="164" fontId="1" fillId="10" borderId="26" xfId="0" quotePrefix="1" applyNumberFormat="1" applyFont="1" applyFill="1" applyBorder="1" applyAlignment="1"/>
    <xf numFmtId="166" fontId="8" fillId="0" borderId="25" xfId="0" quotePrefix="1" applyNumberFormat="1" applyFont="1" applyBorder="1" applyAlignment="1" applyProtection="1">
      <protection locked="0"/>
    </xf>
    <xf numFmtId="166" fontId="8" fillId="0" borderId="27" xfId="0" quotePrefix="1" applyNumberFormat="1" applyFont="1" applyBorder="1" applyAlignment="1" applyProtection="1">
      <protection locked="0"/>
    </xf>
    <xf numFmtId="166" fontId="8" fillId="0" borderId="26" xfId="0" quotePrefix="1" applyNumberFormat="1" applyFont="1" applyBorder="1" applyAlignment="1" applyProtection="1">
      <protection locked="0"/>
    </xf>
    <xf numFmtId="1" fontId="1" fillId="10" borderId="25" xfId="0" quotePrefix="1" applyNumberFormat="1" applyFont="1" applyFill="1" applyBorder="1" applyAlignment="1"/>
    <xf numFmtId="1" fontId="1" fillId="10" borderId="27" xfId="0" quotePrefix="1" applyNumberFormat="1" applyFont="1" applyFill="1" applyBorder="1" applyAlignment="1"/>
    <xf numFmtId="1" fontId="1" fillId="10" borderId="26" xfId="0" quotePrefix="1" applyNumberFormat="1" applyFont="1" applyFill="1" applyBorder="1" applyAlignment="1"/>
    <xf numFmtId="0" fontId="8" fillId="0" borderId="25" xfId="0" applyFont="1" applyBorder="1" applyAlignment="1" applyProtection="1">
      <protection locked="0"/>
    </xf>
    <xf numFmtId="0" fontId="8" fillId="0" borderId="27" xfId="0" applyFont="1" applyBorder="1" applyAlignment="1" applyProtection="1">
      <protection locked="0"/>
    </xf>
    <xf numFmtId="0" fontId="8" fillId="0" borderId="26" xfId="0" applyFont="1" applyBorder="1" applyAlignment="1" applyProtection="1">
      <protection locked="0"/>
    </xf>
    <xf numFmtId="2" fontId="1" fillId="10" borderId="25" xfId="0" quotePrefix="1" applyNumberFormat="1" applyFont="1" applyFill="1" applyBorder="1" applyAlignment="1">
      <alignment horizontal="right"/>
    </xf>
    <xf numFmtId="2" fontId="1" fillId="10" borderId="27" xfId="0" quotePrefix="1" applyNumberFormat="1" applyFont="1" applyFill="1" applyBorder="1" applyAlignment="1">
      <alignment horizontal="right"/>
    </xf>
    <xf numFmtId="2" fontId="1" fillId="10" borderId="26" xfId="0" quotePrefix="1" applyNumberFormat="1" applyFont="1" applyFill="1" applyBorder="1" applyAlignment="1">
      <alignment horizontal="right"/>
    </xf>
    <xf numFmtId="0" fontId="8" fillId="0" borderId="25" xfId="0" quotePrefix="1" applyNumberFormat="1" applyFont="1" applyBorder="1" applyAlignment="1" applyProtection="1">
      <alignment horizontal="right"/>
      <protection locked="0"/>
    </xf>
    <xf numFmtId="0" fontId="8" fillId="0" borderId="27" xfId="0" quotePrefix="1" applyNumberFormat="1" applyFont="1" applyBorder="1" applyAlignment="1" applyProtection="1">
      <alignment horizontal="right"/>
      <protection locked="0"/>
    </xf>
    <xf numFmtId="0" fontId="8" fillId="0" borderId="26" xfId="0" quotePrefix="1" applyNumberFormat="1" applyFont="1" applyBorder="1" applyAlignment="1" applyProtection="1">
      <alignment horizontal="right"/>
      <protection locked="0"/>
    </xf>
    <xf numFmtId="0" fontId="2" fillId="13" borderId="21" xfId="0" applyFont="1" applyFill="1" applyBorder="1" applyAlignment="1"/>
    <xf numFmtId="0" fontId="0" fillId="0" borderId="22" xfId="0" applyBorder="1" applyAlignment="1"/>
    <xf numFmtId="0" fontId="2" fillId="3" borderId="4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2" fillId="8" borderId="25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2" fillId="11" borderId="25" xfId="0" applyFont="1" applyFill="1" applyBorder="1" applyAlignment="1">
      <alignment horizontal="center"/>
    </xf>
    <xf numFmtId="0" fontId="2" fillId="11" borderId="26" xfId="0" applyFont="1" applyFill="1" applyBorder="1" applyAlignment="1">
      <alignment horizontal="center"/>
    </xf>
    <xf numFmtId="0" fontId="2" fillId="16" borderId="25" xfId="0" applyFont="1" applyFill="1" applyBorder="1" applyAlignment="1">
      <alignment horizontal="center"/>
    </xf>
    <xf numFmtId="0" fontId="2" fillId="16" borderId="26" xfId="0" applyFont="1" applyFill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0" fillId="0" borderId="0" xfId="0" applyBorder="1" applyAlignment="1"/>
    <xf numFmtId="164" fontId="3" fillId="6" borderId="9" xfId="0" applyNumberFormat="1" applyFont="1" applyFill="1" applyBorder="1" applyAlignment="1"/>
    <xf numFmtId="164" fontId="3" fillId="6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0000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Horn Expansion</a:t>
            </a:r>
          </a:p>
        </c:rich>
      </c:tx>
      <c:layout>
        <c:manualLayout>
          <c:xMode val="edge"/>
          <c:yMode val="edge"/>
          <c:x val="0.4261744966442953"/>
          <c:y val="3.3612917950473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77181208053691"/>
          <c:y val="0.11484625253373526"/>
          <c:w val="0.83557046979865768"/>
          <c:h val="0.75630458985630544"/>
        </c:manualLayout>
      </c:layout>
      <c:scatterChart>
        <c:scatterStyle val="lineMarker"/>
        <c:varyColors val="0"/>
        <c:ser>
          <c:idx val="0"/>
          <c:order val="0"/>
          <c:tx>
            <c:v>Expansion (+)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Path!$O$24:$O$168</c:f>
              <c:numCache>
                <c:formatCode>0.0</c:formatCode>
                <c:ptCount val="145"/>
                <c:pt idx="0">
                  <c:v>1.2541546914346694E-3</c:v>
                </c:pt>
                <c:pt idx="1">
                  <c:v>1.2541546914346694E-3</c:v>
                </c:pt>
                <c:pt idx="2">
                  <c:v>1.2541546914346694E-3</c:v>
                </c:pt>
                <c:pt idx="3">
                  <c:v>5.4023301165111309E-2</c:v>
                </c:pt>
                <c:pt idx="4">
                  <c:v>5.4023301165111309E-2</c:v>
                </c:pt>
                <c:pt idx="5">
                  <c:v>5.4023301165111309E-2</c:v>
                </c:pt>
                <c:pt idx="6">
                  <c:v>17.943403406248844</c:v>
                </c:pt>
                <c:pt idx="7">
                  <c:v>17.943403406248844</c:v>
                </c:pt>
                <c:pt idx="8">
                  <c:v>17.943403406248844</c:v>
                </c:pt>
                <c:pt idx="9">
                  <c:v>39.485675510394529</c:v>
                </c:pt>
                <c:pt idx="10">
                  <c:v>39.485675510394529</c:v>
                </c:pt>
                <c:pt idx="11">
                  <c:v>39.485675510394529</c:v>
                </c:pt>
                <c:pt idx="12">
                  <c:v>40.988113638086659</c:v>
                </c:pt>
                <c:pt idx="13">
                  <c:v>40.988113638086659</c:v>
                </c:pt>
                <c:pt idx="14">
                  <c:v>40.988113638086659</c:v>
                </c:pt>
                <c:pt idx="15">
                  <c:v>43.215335054211842</c:v>
                </c:pt>
                <c:pt idx="16">
                  <c:v>43.215335054211842</c:v>
                </c:pt>
                <c:pt idx="17">
                  <c:v>43.215335054211842</c:v>
                </c:pt>
                <c:pt idx="18">
                  <c:v>44.665364740744536</c:v>
                </c:pt>
                <c:pt idx="19">
                  <c:v>44.665364740744536</c:v>
                </c:pt>
                <c:pt idx="20">
                  <c:v>44.665364740744536</c:v>
                </c:pt>
                <c:pt idx="21">
                  <c:v>46.549688331419766</c:v>
                </c:pt>
                <c:pt idx="22">
                  <c:v>46.549688331419766</c:v>
                </c:pt>
                <c:pt idx="23">
                  <c:v>46.549688331419766</c:v>
                </c:pt>
                <c:pt idx="24">
                  <c:v>112.11059397271197</c:v>
                </c:pt>
                <c:pt idx="25">
                  <c:v>112.11059397271197</c:v>
                </c:pt>
                <c:pt idx="26">
                  <c:v>112.11059397271197</c:v>
                </c:pt>
                <c:pt idx="27">
                  <c:v>114.5951147102783</c:v>
                </c:pt>
                <c:pt idx="28">
                  <c:v>114.5951147102783</c:v>
                </c:pt>
                <c:pt idx="29">
                  <c:v>114.5951147102783</c:v>
                </c:pt>
                <c:pt idx="30">
                  <c:v>118.07850879064127</c:v>
                </c:pt>
                <c:pt idx="31">
                  <c:v>118.07850879064127</c:v>
                </c:pt>
                <c:pt idx="32">
                  <c:v>118.07850879064127</c:v>
                </c:pt>
                <c:pt idx="33">
                  <c:v>120.64088552018306</c:v>
                </c:pt>
                <c:pt idx="34">
                  <c:v>120.64088552018306</c:v>
                </c:pt>
                <c:pt idx="35">
                  <c:v>120.64088552018306</c:v>
                </c:pt>
                <c:pt idx="36">
                  <c:v>170.84676616081998</c:v>
                </c:pt>
                <c:pt idx="37">
                  <c:v>170.84676616081998</c:v>
                </c:pt>
                <c:pt idx="38">
                  <c:v>170.84676616081998</c:v>
                </c:pt>
                <c:pt idx="39">
                  <c:v>174.05562754046974</c:v>
                </c:pt>
                <c:pt idx="40">
                  <c:v>174.05562754046974</c:v>
                </c:pt>
                <c:pt idx="41">
                  <c:v>174.05562754046974</c:v>
                </c:pt>
                <c:pt idx="42">
                  <c:v>178.54473745716049</c:v>
                </c:pt>
                <c:pt idx="43">
                  <c:v>178.54473745716049</c:v>
                </c:pt>
                <c:pt idx="44">
                  <c:v>178.54473745716049</c:v>
                </c:pt>
                <c:pt idx="45">
                  <c:v>181.83941181901429</c:v>
                </c:pt>
                <c:pt idx="46">
                  <c:v>181.83941181901429</c:v>
                </c:pt>
                <c:pt idx="47">
                  <c:v>181.83941181901429</c:v>
                </c:pt>
                <c:pt idx="48">
                  <c:v>183.73887512496501</c:v>
                </c:pt>
                <c:pt idx="49">
                  <c:v>183.73887512496501</c:v>
                </c:pt>
                <c:pt idx="50">
                  <c:v>183.73887512496501</c:v>
                </c:pt>
                <c:pt idx="51">
                  <c:v>187.08146834809034</c:v>
                </c:pt>
                <c:pt idx="52">
                  <c:v>187.08146834809034</c:v>
                </c:pt>
                <c:pt idx="53">
                  <c:v>187.08146834809034</c:v>
                </c:pt>
                <c:pt idx="54">
                  <c:v>194.53930487804482</c:v>
                </c:pt>
                <c:pt idx="55">
                  <c:v>194.53930487804482</c:v>
                </c:pt>
                <c:pt idx="56">
                  <c:v>194.53930487804482</c:v>
                </c:pt>
                <c:pt idx="57">
                  <c:v>227.44620723451311</c:v>
                </c:pt>
                <c:pt idx="58">
                  <c:v>227.44620723451311</c:v>
                </c:pt>
                <c:pt idx="59">
                  <c:v>227.44620723451311</c:v>
                </c:pt>
                <c:pt idx="60">
                  <c:v>231.32413150301491</c:v>
                </c:pt>
                <c:pt idx="61">
                  <c:v>231.32413150301491</c:v>
                </c:pt>
                <c:pt idx="62">
                  <c:v>231.32413150301491</c:v>
                </c:pt>
                <c:pt idx="63">
                  <c:v>236.827607150864</c:v>
                </c:pt>
                <c:pt idx="64">
                  <c:v>236.827607150864</c:v>
                </c:pt>
                <c:pt idx="65">
                  <c:v>236.827607150864</c:v>
                </c:pt>
                <c:pt idx="66">
                  <c:v>240.73272527637991</c:v>
                </c:pt>
                <c:pt idx="67">
                  <c:v>240.73272527637991</c:v>
                </c:pt>
                <c:pt idx="68">
                  <c:v>240.73272527637991</c:v>
                </c:pt>
                <c:pt idx="69">
                  <c:v>272.62589802477845</c:v>
                </c:pt>
                <c:pt idx="70">
                  <c:v>272.62589802477845</c:v>
                </c:pt>
                <c:pt idx="71">
                  <c:v>272.62589802477845</c:v>
                </c:pt>
                <c:pt idx="72">
                  <c:v>276.66509260115197</c:v>
                </c:pt>
                <c:pt idx="73">
                  <c:v>276.66509260115197</c:v>
                </c:pt>
                <c:pt idx="74">
                  <c:v>276.66509260115197</c:v>
                </c:pt>
                <c:pt idx="75">
                  <c:v>282.83175501432817</c:v>
                </c:pt>
                <c:pt idx="76">
                  <c:v>282.83175501432817</c:v>
                </c:pt>
                <c:pt idx="77">
                  <c:v>282.83175501432817</c:v>
                </c:pt>
                <c:pt idx="78">
                  <c:v>287.11748904164142</c:v>
                </c:pt>
                <c:pt idx="79">
                  <c:v>287.11748904164142</c:v>
                </c:pt>
                <c:pt idx="80">
                  <c:v>287.11748904164142</c:v>
                </c:pt>
                <c:pt idx="81">
                  <c:v>289.01356588901376</c:v>
                </c:pt>
                <c:pt idx="82">
                  <c:v>289.01356588901376</c:v>
                </c:pt>
                <c:pt idx="83">
                  <c:v>289.01356588901376</c:v>
                </c:pt>
                <c:pt idx="84">
                  <c:v>293.67539714584416</c:v>
                </c:pt>
                <c:pt idx="85">
                  <c:v>293.67539714584416</c:v>
                </c:pt>
                <c:pt idx="86">
                  <c:v>293.67539714584416</c:v>
                </c:pt>
                <c:pt idx="87">
                  <c:v>300.34360198138137</c:v>
                </c:pt>
                <c:pt idx="88">
                  <c:v>300.34360198138137</c:v>
                </c:pt>
                <c:pt idx="89">
                  <c:v>300.34360198138137</c:v>
                </c:pt>
                <c:pt idx="90">
                  <c:v>305.33805018479768</c:v>
                </c:pt>
                <c:pt idx="91">
                  <c:v>305.33805018479768</c:v>
                </c:pt>
                <c:pt idx="92">
                  <c:v>305.33805018479768</c:v>
                </c:pt>
                <c:pt idx="93">
                  <c:v>314.99896519903882</c:v>
                </c:pt>
                <c:pt idx="94">
                  <c:v>314.99896519903882</c:v>
                </c:pt>
                <c:pt idx="95">
                  <c:v>314.99896519903882</c:v>
                </c:pt>
                <c:pt idx="96">
                  <c:v>320.08237995918807</c:v>
                </c:pt>
                <c:pt idx="97">
                  <c:v>320.08237995918807</c:v>
                </c:pt>
                <c:pt idx="98">
                  <c:v>320.08237995918807</c:v>
                </c:pt>
                <c:pt idx="99">
                  <c:v>327.31360170491905</c:v>
                </c:pt>
                <c:pt idx="100">
                  <c:v>327.31360170491905</c:v>
                </c:pt>
                <c:pt idx="101">
                  <c:v>327.31360170491905</c:v>
                </c:pt>
                <c:pt idx="102">
                  <c:v>332.45650577871135</c:v>
                </c:pt>
                <c:pt idx="103">
                  <c:v>332.45650577871135</c:v>
                </c:pt>
                <c:pt idx="104">
                  <c:v>332.45650577871135</c:v>
                </c:pt>
                <c:pt idx="105">
                  <c:v>334.35183301794285</c:v>
                </c:pt>
                <c:pt idx="106">
                  <c:v>334.35183301794285</c:v>
                </c:pt>
                <c:pt idx="107">
                  <c:v>334.35183301794285</c:v>
                </c:pt>
                <c:pt idx="108">
                  <c:v>339.84280899565243</c:v>
                </c:pt>
                <c:pt idx="109">
                  <c:v>339.84280899565243</c:v>
                </c:pt>
                <c:pt idx="110">
                  <c:v>339.84280899565243</c:v>
                </c:pt>
                <c:pt idx="111">
                  <c:v>347.48930897885367</c:v>
                </c:pt>
                <c:pt idx="112">
                  <c:v>347.48930897885367</c:v>
                </c:pt>
                <c:pt idx="113">
                  <c:v>347.48930897885367</c:v>
                </c:pt>
                <c:pt idx="114">
                  <c:v>353.27288705892704</c:v>
                </c:pt>
                <c:pt idx="115">
                  <c:v>353.27288705892704</c:v>
                </c:pt>
                <c:pt idx="116">
                  <c:v>353.27288705892704</c:v>
                </c:pt>
                <c:pt idx="117">
                  <c:v>391.13269157905142</c:v>
                </c:pt>
                <c:pt idx="118">
                  <c:v>391.13269157905142</c:v>
                </c:pt>
                <c:pt idx="119">
                  <c:v>391.13269157905142</c:v>
                </c:pt>
                <c:pt idx="120">
                  <c:v>397.81036324517828</c:v>
                </c:pt>
                <c:pt idx="121">
                  <c:v>397.81036324517828</c:v>
                </c:pt>
                <c:pt idx="122">
                  <c:v>397.81036324517828</c:v>
                </c:pt>
                <c:pt idx="123">
                  <c:v>407.10944264944067</c:v>
                </c:pt>
                <c:pt idx="124">
                  <c:v>407.10944264944067</c:v>
                </c:pt>
                <c:pt idx="125">
                  <c:v>407.10944264944067</c:v>
                </c:pt>
                <c:pt idx="126">
                  <c:v>414.14316011469992</c:v>
                </c:pt>
                <c:pt idx="127">
                  <c:v>414.14316011469992</c:v>
                </c:pt>
                <c:pt idx="128">
                  <c:v>414.14316011469992</c:v>
                </c:pt>
                <c:pt idx="129">
                  <c:v>416.04159869292658</c:v>
                </c:pt>
                <c:pt idx="130">
                  <c:v>416.04159869292658</c:v>
                </c:pt>
                <c:pt idx="131">
                  <c:v>416.04159869292658</c:v>
                </c:pt>
                <c:pt idx="132">
                  <c:v>416.04159869292658</c:v>
                </c:pt>
                <c:pt idx="133">
                  <c:v>416.04159869292658</c:v>
                </c:pt>
                <c:pt idx="134">
                  <c:v>416.04159869292658</c:v>
                </c:pt>
                <c:pt idx="135">
                  <c:v>434.02680627612671</c:v>
                </c:pt>
                <c:pt idx="136">
                  <c:v>434.02680627612671</c:v>
                </c:pt>
                <c:pt idx="137">
                  <c:v>434.02680627612671</c:v>
                </c:pt>
                <c:pt idx="138">
                  <c:v>462.02774841541464</c:v>
                </c:pt>
                <c:pt idx="139">
                  <c:v>462.02774841541464</c:v>
                </c:pt>
                <c:pt idx="140">
                  <c:v>462.02774841541464</c:v>
                </c:pt>
                <c:pt idx="141">
                  <c:v>462.7475944282906</c:v>
                </c:pt>
              </c:numCache>
            </c:numRef>
          </c:xVal>
          <c:yVal>
            <c:numRef>
              <c:f>Path!$S$24:$S$168</c:f>
              <c:numCache>
                <c:formatCode>0.0</c:formatCode>
                <c:ptCount val="145"/>
                <c:pt idx="0">
                  <c:v>127.00039187143946</c:v>
                </c:pt>
                <c:pt idx="1">
                  <c:v>127.00039187143946</c:v>
                </c:pt>
                <c:pt idx="2">
                  <c:v>127.00039187143946</c:v>
                </c:pt>
                <c:pt idx="3">
                  <c:v>127.07212951978944</c:v>
                </c:pt>
                <c:pt idx="4">
                  <c:v>127.07212951978944</c:v>
                </c:pt>
                <c:pt idx="5">
                  <c:v>127.07212951978944</c:v>
                </c:pt>
                <c:pt idx="6">
                  <c:v>151.39206161900674</c:v>
                </c:pt>
                <c:pt idx="7">
                  <c:v>151.39206161900674</c:v>
                </c:pt>
                <c:pt idx="8">
                  <c:v>151.39206161900674</c:v>
                </c:pt>
                <c:pt idx="9">
                  <c:v>180.677961508115</c:v>
                </c:pt>
                <c:pt idx="10">
                  <c:v>180.677961508115</c:v>
                </c:pt>
                <c:pt idx="11">
                  <c:v>180.677961508115</c:v>
                </c:pt>
                <c:pt idx="12">
                  <c:v>201.90436989006113</c:v>
                </c:pt>
                <c:pt idx="13">
                  <c:v>201.90436989006113</c:v>
                </c:pt>
                <c:pt idx="14">
                  <c:v>201.90436989006113</c:v>
                </c:pt>
                <c:pt idx="15">
                  <c:v>205.74367306303722</c:v>
                </c:pt>
                <c:pt idx="16">
                  <c:v>205.74367306303722</c:v>
                </c:pt>
                <c:pt idx="17">
                  <c:v>205.74367306303722</c:v>
                </c:pt>
                <c:pt idx="18">
                  <c:v>190.26516941306073</c:v>
                </c:pt>
                <c:pt idx="19">
                  <c:v>190.26516941306073</c:v>
                </c:pt>
                <c:pt idx="20">
                  <c:v>190.26516941306073</c:v>
                </c:pt>
                <c:pt idx="21">
                  <c:v>190.26516941306073</c:v>
                </c:pt>
                <c:pt idx="22">
                  <c:v>190.26516941306073</c:v>
                </c:pt>
                <c:pt idx="23">
                  <c:v>190.26516941306073</c:v>
                </c:pt>
                <c:pt idx="24">
                  <c:v>279.39272801092221</c:v>
                </c:pt>
                <c:pt idx="25">
                  <c:v>279.39272801092221</c:v>
                </c:pt>
                <c:pt idx="26">
                  <c:v>279.39272801092221</c:v>
                </c:pt>
                <c:pt idx="27">
                  <c:v>316.45402043576183</c:v>
                </c:pt>
                <c:pt idx="28">
                  <c:v>316.45402043576183</c:v>
                </c:pt>
                <c:pt idx="29">
                  <c:v>316.45402043576183</c:v>
                </c:pt>
                <c:pt idx="30">
                  <c:v>322.65603842590792</c:v>
                </c:pt>
                <c:pt idx="31">
                  <c:v>322.65603842590792</c:v>
                </c:pt>
                <c:pt idx="32">
                  <c:v>322.65603842590792</c:v>
                </c:pt>
                <c:pt idx="33">
                  <c:v>290.94779226156112</c:v>
                </c:pt>
                <c:pt idx="34">
                  <c:v>290.94779226156112</c:v>
                </c:pt>
                <c:pt idx="35">
                  <c:v>290.94779226156112</c:v>
                </c:pt>
                <c:pt idx="36">
                  <c:v>359.20444979285952</c:v>
                </c:pt>
                <c:pt idx="37">
                  <c:v>359.20444979285952</c:v>
                </c:pt>
                <c:pt idx="38">
                  <c:v>359.20444979285952</c:v>
                </c:pt>
                <c:pt idx="39">
                  <c:v>406.51479138510712</c:v>
                </c:pt>
                <c:pt idx="40">
                  <c:v>406.51479138510712</c:v>
                </c:pt>
                <c:pt idx="41">
                  <c:v>406.51479138510712</c:v>
                </c:pt>
                <c:pt idx="42">
                  <c:v>414.87897754375382</c:v>
                </c:pt>
                <c:pt idx="43">
                  <c:v>414.87897754375382</c:v>
                </c:pt>
                <c:pt idx="44">
                  <c:v>414.87897754375382</c:v>
                </c:pt>
                <c:pt idx="45">
                  <c:v>374.11029828801213</c:v>
                </c:pt>
                <c:pt idx="46">
                  <c:v>374.11029828801213</c:v>
                </c:pt>
                <c:pt idx="47">
                  <c:v>374.11029828801213</c:v>
                </c:pt>
                <c:pt idx="48">
                  <c:v>376.69254643497777</c:v>
                </c:pt>
                <c:pt idx="49">
                  <c:v>376.69254643497777</c:v>
                </c:pt>
                <c:pt idx="50">
                  <c:v>376.69254643497777</c:v>
                </c:pt>
                <c:pt idx="51">
                  <c:v>426.46788682350495</c:v>
                </c:pt>
                <c:pt idx="52">
                  <c:v>426.46788682350495</c:v>
                </c:pt>
                <c:pt idx="53">
                  <c:v>426.46788682350495</c:v>
                </c:pt>
                <c:pt idx="54">
                  <c:v>391.36928731470772</c:v>
                </c:pt>
                <c:pt idx="55">
                  <c:v>391.36928731470772</c:v>
                </c:pt>
                <c:pt idx="56">
                  <c:v>391.36928731470772</c:v>
                </c:pt>
                <c:pt idx="57">
                  <c:v>436.07858770663262</c:v>
                </c:pt>
                <c:pt idx="58">
                  <c:v>436.07858770663262</c:v>
                </c:pt>
                <c:pt idx="59">
                  <c:v>436.07858770663262</c:v>
                </c:pt>
                <c:pt idx="60">
                  <c:v>493.92717508200377</c:v>
                </c:pt>
                <c:pt idx="61">
                  <c:v>493.92717508200377</c:v>
                </c:pt>
                <c:pt idx="62">
                  <c:v>493.92717508200377</c:v>
                </c:pt>
                <c:pt idx="63">
                  <c:v>501.30191447788332</c:v>
                </c:pt>
                <c:pt idx="64">
                  <c:v>501.30191447788332</c:v>
                </c:pt>
                <c:pt idx="65">
                  <c:v>501.30191447788332</c:v>
                </c:pt>
                <c:pt idx="66">
                  <c:v>454.12401504627451</c:v>
                </c:pt>
                <c:pt idx="67">
                  <c:v>454.12401504627451</c:v>
                </c:pt>
                <c:pt idx="68">
                  <c:v>454.12401504627451</c:v>
                </c:pt>
                <c:pt idx="69">
                  <c:v>497.48157082034675</c:v>
                </c:pt>
                <c:pt idx="70">
                  <c:v>497.48157082034675</c:v>
                </c:pt>
                <c:pt idx="71">
                  <c:v>497.48157082034675</c:v>
                </c:pt>
                <c:pt idx="72">
                  <c:v>553.47106303977023</c:v>
                </c:pt>
                <c:pt idx="73">
                  <c:v>553.47106303977023</c:v>
                </c:pt>
                <c:pt idx="74">
                  <c:v>553.47106303977023</c:v>
                </c:pt>
                <c:pt idx="75">
                  <c:v>557.92294941941134</c:v>
                </c:pt>
                <c:pt idx="76">
                  <c:v>557.92294941941134</c:v>
                </c:pt>
                <c:pt idx="77">
                  <c:v>557.92294941941134</c:v>
                </c:pt>
                <c:pt idx="78">
                  <c:v>517.17368525081372</c:v>
                </c:pt>
                <c:pt idx="79">
                  <c:v>517.17368525081372</c:v>
                </c:pt>
                <c:pt idx="80">
                  <c:v>517.17368525081372</c:v>
                </c:pt>
                <c:pt idx="81">
                  <c:v>524.15409841415214</c:v>
                </c:pt>
                <c:pt idx="82">
                  <c:v>524.15409841415214</c:v>
                </c:pt>
                <c:pt idx="83">
                  <c:v>524.15409841415214</c:v>
                </c:pt>
                <c:pt idx="84">
                  <c:v>603.156554700725</c:v>
                </c:pt>
                <c:pt idx="85">
                  <c:v>603.156554700725</c:v>
                </c:pt>
                <c:pt idx="86">
                  <c:v>603.156554700725</c:v>
                </c:pt>
                <c:pt idx="87">
                  <c:v>602.30132814941703</c:v>
                </c:pt>
                <c:pt idx="88">
                  <c:v>602.30132814941703</c:v>
                </c:pt>
                <c:pt idx="89">
                  <c:v>602.30132814941703</c:v>
                </c:pt>
                <c:pt idx="90">
                  <c:v>541.93441227403468</c:v>
                </c:pt>
                <c:pt idx="91">
                  <c:v>541.93441227403468</c:v>
                </c:pt>
                <c:pt idx="92">
                  <c:v>541.93441227403468</c:v>
                </c:pt>
                <c:pt idx="93">
                  <c:v>564.3331934628643</c:v>
                </c:pt>
                <c:pt idx="94">
                  <c:v>564.3331934628643</c:v>
                </c:pt>
                <c:pt idx="95">
                  <c:v>564.3331934628643</c:v>
                </c:pt>
                <c:pt idx="96">
                  <c:v>645.21347709882684</c:v>
                </c:pt>
                <c:pt idx="97">
                  <c:v>645.21347709882684</c:v>
                </c:pt>
                <c:pt idx="98">
                  <c:v>645.21347709882684</c:v>
                </c:pt>
                <c:pt idx="99">
                  <c:v>661.82382522026239</c:v>
                </c:pt>
                <c:pt idx="100">
                  <c:v>661.82382522026239</c:v>
                </c:pt>
                <c:pt idx="101">
                  <c:v>661.82382522026239</c:v>
                </c:pt>
                <c:pt idx="102">
                  <c:v>604.8748084835529</c:v>
                </c:pt>
                <c:pt idx="103">
                  <c:v>604.8748084835529</c:v>
                </c:pt>
                <c:pt idx="104">
                  <c:v>604.8748084835529</c:v>
                </c:pt>
                <c:pt idx="105">
                  <c:v>609.26914665820732</c:v>
                </c:pt>
                <c:pt idx="106">
                  <c:v>609.26914665820732</c:v>
                </c:pt>
                <c:pt idx="107">
                  <c:v>609.26914665820732</c:v>
                </c:pt>
                <c:pt idx="108">
                  <c:v>696.58695170322028</c:v>
                </c:pt>
                <c:pt idx="109">
                  <c:v>696.58695170322028</c:v>
                </c:pt>
                <c:pt idx="110">
                  <c:v>696.58695170322028</c:v>
                </c:pt>
                <c:pt idx="111">
                  <c:v>720.13738426265297</c:v>
                </c:pt>
                <c:pt idx="112">
                  <c:v>720.13738426265297</c:v>
                </c:pt>
                <c:pt idx="113">
                  <c:v>720.13738426265297</c:v>
                </c:pt>
                <c:pt idx="114">
                  <c:v>653.17996431128938</c:v>
                </c:pt>
                <c:pt idx="115">
                  <c:v>653.17996431128938</c:v>
                </c:pt>
                <c:pt idx="116">
                  <c:v>653.17996431128938</c:v>
                </c:pt>
                <c:pt idx="117">
                  <c:v>740.9577229128829</c:v>
                </c:pt>
                <c:pt idx="118">
                  <c:v>740.9577229128829</c:v>
                </c:pt>
                <c:pt idx="119">
                  <c:v>740.9577229128829</c:v>
                </c:pt>
                <c:pt idx="120">
                  <c:v>847.24233449553174</c:v>
                </c:pt>
                <c:pt idx="121">
                  <c:v>847.24233449553174</c:v>
                </c:pt>
                <c:pt idx="122">
                  <c:v>847.24233449553174</c:v>
                </c:pt>
                <c:pt idx="123">
                  <c:v>875.9694715277966</c:v>
                </c:pt>
                <c:pt idx="124">
                  <c:v>875.9694715277966</c:v>
                </c:pt>
                <c:pt idx="125">
                  <c:v>875.9694715277966</c:v>
                </c:pt>
                <c:pt idx="126">
                  <c:v>794.560583538213</c:v>
                </c:pt>
                <c:pt idx="127">
                  <c:v>794.560583538213</c:v>
                </c:pt>
                <c:pt idx="128">
                  <c:v>794.560583538213</c:v>
                </c:pt>
                <c:pt idx="129">
                  <c:v>798.96210344439635</c:v>
                </c:pt>
                <c:pt idx="130">
                  <c:v>798.96210344439635</c:v>
                </c:pt>
                <c:pt idx="131">
                  <c:v>798.96210344439635</c:v>
                </c:pt>
                <c:pt idx="132">
                  <c:v>798.96210344439635</c:v>
                </c:pt>
                <c:pt idx="133">
                  <c:v>798.96210344439635</c:v>
                </c:pt>
                <c:pt idx="134">
                  <c:v>798.96210344439635</c:v>
                </c:pt>
                <c:pt idx="135">
                  <c:v>840.66071308192147</c:v>
                </c:pt>
                <c:pt idx="136">
                  <c:v>840.66071308192147</c:v>
                </c:pt>
                <c:pt idx="137">
                  <c:v>840.66071308192147</c:v>
                </c:pt>
                <c:pt idx="138">
                  <c:v>905.58075036093067</c:v>
                </c:pt>
                <c:pt idx="139">
                  <c:v>905.58075036093067</c:v>
                </c:pt>
                <c:pt idx="140">
                  <c:v>905.58075036093067</c:v>
                </c:pt>
                <c:pt idx="141">
                  <c:v>907.24970957280743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D6-44A7-9453-0F20D8646F79}"/>
            </c:ext>
          </c:extLst>
        </c:ser>
        <c:ser>
          <c:idx val="1"/>
          <c:order val="1"/>
          <c:tx>
            <c:v>Expansion (-)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Path!$O$24:$O$168</c:f>
              <c:numCache>
                <c:formatCode>0.0</c:formatCode>
                <c:ptCount val="145"/>
                <c:pt idx="0">
                  <c:v>1.2541546914346694E-3</c:v>
                </c:pt>
                <c:pt idx="1">
                  <c:v>1.2541546914346694E-3</c:v>
                </c:pt>
                <c:pt idx="2">
                  <c:v>1.2541546914346694E-3</c:v>
                </c:pt>
                <c:pt idx="3">
                  <c:v>5.4023301165111309E-2</c:v>
                </c:pt>
                <c:pt idx="4">
                  <c:v>5.4023301165111309E-2</c:v>
                </c:pt>
                <c:pt idx="5">
                  <c:v>5.4023301165111309E-2</c:v>
                </c:pt>
                <c:pt idx="6">
                  <c:v>17.943403406248844</c:v>
                </c:pt>
                <c:pt idx="7">
                  <c:v>17.943403406248844</c:v>
                </c:pt>
                <c:pt idx="8">
                  <c:v>17.943403406248844</c:v>
                </c:pt>
                <c:pt idx="9">
                  <c:v>39.485675510394529</c:v>
                </c:pt>
                <c:pt idx="10">
                  <c:v>39.485675510394529</c:v>
                </c:pt>
                <c:pt idx="11">
                  <c:v>39.485675510394529</c:v>
                </c:pt>
                <c:pt idx="12">
                  <c:v>40.988113638086659</c:v>
                </c:pt>
                <c:pt idx="13">
                  <c:v>40.988113638086659</c:v>
                </c:pt>
                <c:pt idx="14">
                  <c:v>40.988113638086659</c:v>
                </c:pt>
                <c:pt idx="15">
                  <c:v>43.215335054211842</c:v>
                </c:pt>
                <c:pt idx="16">
                  <c:v>43.215335054211842</c:v>
                </c:pt>
                <c:pt idx="17">
                  <c:v>43.215335054211842</c:v>
                </c:pt>
                <c:pt idx="18">
                  <c:v>44.665364740744536</c:v>
                </c:pt>
                <c:pt idx="19">
                  <c:v>44.665364740744536</c:v>
                </c:pt>
                <c:pt idx="20">
                  <c:v>44.665364740744536</c:v>
                </c:pt>
                <c:pt idx="21">
                  <c:v>46.549688331419766</c:v>
                </c:pt>
                <c:pt idx="22">
                  <c:v>46.549688331419766</c:v>
                </c:pt>
                <c:pt idx="23">
                  <c:v>46.549688331419766</c:v>
                </c:pt>
                <c:pt idx="24">
                  <c:v>112.11059397271197</c:v>
                </c:pt>
                <c:pt idx="25">
                  <c:v>112.11059397271197</c:v>
                </c:pt>
                <c:pt idx="26">
                  <c:v>112.11059397271197</c:v>
                </c:pt>
                <c:pt idx="27">
                  <c:v>114.5951147102783</c:v>
                </c:pt>
                <c:pt idx="28">
                  <c:v>114.5951147102783</c:v>
                </c:pt>
                <c:pt idx="29">
                  <c:v>114.5951147102783</c:v>
                </c:pt>
                <c:pt idx="30">
                  <c:v>118.07850879064127</c:v>
                </c:pt>
                <c:pt idx="31">
                  <c:v>118.07850879064127</c:v>
                </c:pt>
                <c:pt idx="32">
                  <c:v>118.07850879064127</c:v>
                </c:pt>
                <c:pt idx="33">
                  <c:v>120.64088552018306</c:v>
                </c:pt>
                <c:pt idx="34">
                  <c:v>120.64088552018306</c:v>
                </c:pt>
                <c:pt idx="35">
                  <c:v>120.64088552018306</c:v>
                </c:pt>
                <c:pt idx="36">
                  <c:v>170.84676616081998</c:v>
                </c:pt>
                <c:pt idx="37">
                  <c:v>170.84676616081998</c:v>
                </c:pt>
                <c:pt idx="38">
                  <c:v>170.84676616081998</c:v>
                </c:pt>
                <c:pt idx="39">
                  <c:v>174.05562754046974</c:v>
                </c:pt>
                <c:pt idx="40">
                  <c:v>174.05562754046974</c:v>
                </c:pt>
                <c:pt idx="41">
                  <c:v>174.05562754046974</c:v>
                </c:pt>
                <c:pt idx="42">
                  <c:v>178.54473745716049</c:v>
                </c:pt>
                <c:pt idx="43">
                  <c:v>178.54473745716049</c:v>
                </c:pt>
                <c:pt idx="44">
                  <c:v>178.54473745716049</c:v>
                </c:pt>
                <c:pt idx="45">
                  <c:v>181.83941181901429</c:v>
                </c:pt>
                <c:pt idx="46">
                  <c:v>181.83941181901429</c:v>
                </c:pt>
                <c:pt idx="47">
                  <c:v>181.83941181901429</c:v>
                </c:pt>
                <c:pt idx="48">
                  <c:v>183.73887512496501</c:v>
                </c:pt>
                <c:pt idx="49">
                  <c:v>183.73887512496501</c:v>
                </c:pt>
                <c:pt idx="50">
                  <c:v>183.73887512496501</c:v>
                </c:pt>
                <c:pt idx="51">
                  <c:v>187.08146834809034</c:v>
                </c:pt>
                <c:pt idx="52">
                  <c:v>187.08146834809034</c:v>
                </c:pt>
                <c:pt idx="53">
                  <c:v>187.08146834809034</c:v>
                </c:pt>
                <c:pt idx="54">
                  <c:v>194.53930487804482</c:v>
                </c:pt>
                <c:pt idx="55">
                  <c:v>194.53930487804482</c:v>
                </c:pt>
                <c:pt idx="56">
                  <c:v>194.53930487804482</c:v>
                </c:pt>
                <c:pt idx="57">
                  <c:v>227.44620723451311</c:v>
                </c:pt>
                <c:pt idx="58">
                  <c:v>227.44620723451311</c:v>
                </c:pt>
                <c:pt idx="59">
                  <c:v>227.44620723451311</c:v>
                </c:pt>
                <c:pt idx="60">
                  <c:v>231.32413150301491</c:v>
                </c:pt>
                <c:pt idx="61">
                  <c:v>231.32413150301491</c:v>
                </c:pt>
                <c:pt idx="62">
                  <c:v>231.32413150301491</c:v>
                </c:pt>
                <c:pt idx="63">
                  <c:v>236.827607150864</c:v>
                </c:pt>
                <c:pt idx="64">
                  <c:v>236.827607150864</c:v>
                </c:pt>
                <c:pt idx="65">
                  <c:v>236.827607150864</c:v>
                </c:pt>
                <c:pt idx="66">
                  <c:v>240.73272527637991</c:v>
                </c:pt>
                <c:pt idx="67">
                  <c:v>240.73272527637991</c:v>
                </c:pt>
                <c:pt idx="68">
                  <c:v>240.73272527637991</c:v>
                </c:pt>
                <c:pt idx="69">
                  <c:v>272.62589802477845</c:v>
                </c:pt>
                <c:pt idx="70">
                  <c:v>272.62589802477845</c:v>
                </c:pt>
                <c:pt idx="71">
                  <c:v>272.62589802477845</c:v>
                </c:pt>
                <c:pt idx="72">
                  <c:v>276.66509260115197</c:v>
                </c:pt>
                <c:pt idx="73">
                  <c:v>276.66509260115197</c:v>
                </c:pt>
                <c:pt idx="74">
                  <c:v>276.66509260115197</c:v>
                </c:pt>
                <c:pt idx="75">
                  <c:v>282.83175501432817</c:v>
                </c:pt>
                <c:pt idx="76">
                  <c:v>282.83175501432817</c:v>
                </c:pt>
                <c:pt idx="77">
                  <c:v>282.83175501432817</c:v>
                </c:pt>
                <c:pt idx="78">
                  <c:v>287.11748904164142</c:v>
                </c:pt>
                <c:pt idx="79">
                  <c:v>287.11748904164142</c:v>
                </c:pt>
                <c:pt idx="80">
                  <c:v>287.11748904164142</c:v>
                </c:pt>
                <c:pt idx="81">
                  <c:v>289.01356588901376</c:v>
                </c:pt>
                <c:pt idx="82">
                  <c:v>289.01356588901376</c:v>
                </c:pt>
                <c:pt idx="83">
                  <c:v>289.01356588901376</c:v>
                </c:pt>
                <c:pt idx="84">
                  <c:v>293.67539714584416</c:v>
                </c:pt>
                <c:pt idx="85">
                  <c:v>293.67539714584416</c:v>
                </c:pt>
                <c:pt idx="86">
                  <c:v>293.67539714584416</c:v>
                </c:pt>
                <c:pt idx="87">
                  <c:v>300.34360198138137</c:v>
                </c:pt>
                <c:pt idx="88">
                  <c:v>300.34360198138137</c:v>
                </c:pt>
                <c:pt idx="89">
                  <c:v>300.34360198138137</c:v>
                </c:pt>
                <c:pt idx="90">
                  <c:v>305.33805018479768</c:v>
                </c:pt>
                <c:pt idx="91">
                  <c:v>305.33805018479768</c:v>
                </c:pt>
                <c:pt idx="92">
                  <c:v>305.33805018479768</c:v>
                </c:pt>
                <c:pt idx="93">
                  <c:v>314.99896519903882</c:v>
                </c:pt>
                <c:pt idx="94">
                  <c:v>314.99896519903882</c:v>
                </c:pt>
                <c:pt idx="95">
                  <c:v>314.99896519903882</c:v>
                </c:pt>
                <c:pt idx="96">
                  <c:v>320.08237995918807</c:v>
                </c:pt>
                <c:pt idx="97">
                  <c:v>320.08237995918807</c:v>
                </c:pt>
                <c:pt idx="98">
                  <c:v>320.08237995918807</c:v>
                </c:pt>
                <c:pt idx="99">
                  <c:v>327.31360170491905</c:v>
                </c:pt>
                <c:pt idx="100">
                  <c:v>327.31360170491905</c:v>
                </c:pt>
                <c:pt idx="101">
                  <c:v>327.31360170491905</c:v>
                </c:pt>
                <c:pt idx="102">
                  <c:v>332.45650577871135</c:v>
                </c:pt>
                <c:pt idx="103">
                  <c:v>332.45650577871135</c:v>
                </c:pt>
                <c:pt idx="104">
                  <c:v>332.45650577871135</c:v>
                </c:pt>
                <c:pt idx="105">
                  <c:v>334.35183301794285</c:v>
                </c:pt>
                <c:pt idx="106">
                  <c:v>334.35183301794285</c:v>
                </c:pt>
                <c:pt idx="107">
                  <c:v>334.35183301794285</c:v>
                </c:pt>
                <c:pt idx="108">
                  <c:v>339.84280899565243</c:v>
                </c:pt>
                <c:pt idx="109">
                  <c:v>339.84280899565243</c:v>
                </c:pt>
                <c:pt idx="110">
                  <c:v>339.84280899565243</c:v>
                </c:pt>
                <c:pt idx="111">
                  <c:v>347.48930897885367</c:v>
                </c:pt>
                <c:pt idx="112">
                  <c:v>347.48930897885367</c:v>
                </c:pt>
                <c:pt idx="113">
                  <c:v>347.48930897885367</c:v>
                </c:pt>
                <c:pt idx="114">
                  <c:v>353.27288705892704</c:v>
                </c:pt>
                <c:pt idx="115">
                  <c:v>353.27288705892704</c:v>
                </c:pt>
                <c:pt idx="116">
                  <c:v>353.27288705892704</c:v>
                </c:pt>
                <c:pt idx="117">
                  <c:v>391.13269157905142</c:v>
                </c:pt>
                <c:pt idx="118">
                  <c:v>391.13269157905142</c:v>
                </c:pt>
                <c:pt idx="119">
                  <c:v>391.13269157905142</c:v>
                </c:pt>
                <c:pt idx="120">
                  <c:v>397.81036324517828</c:v>
                </c:pt>
                <c:pt idx="121">
                  <c:v>397.81036324517828</c:v>
                </c:pt>
                <c:pt idx="122">
                  <c:v>397.81036324517828</c:v>
                </c:pt>
                <c:pt idx="123">
                  <c:v>407.10944264944067</c:v>
                </c:pt>
                <c:pt idx="124">
                  <c:v>407.10944264944067</c:v>
                </c:pt>
                <c:pt idx="125">
                  <c:v>407.10944264944067</c:v>
                </c:pt>
                <c:pt idx="126">
                  <c:v>414.14316011469992</c:v>
                </c:pt>
                <c:pt idx="127">
                  <c:v>414.14316011469992</c:v>
                </c:pt>
                <c:pt idx="128">
                  <c:v>414.14316011469992</c:v>
                </c:pt>
                <c:pt idx="129">
                  <c:v>416.04159869292658</c:v>
                </c:pt>
                <c:pt idx="130">
                  <c:v>416.04159869292658</c:v>
                </c:pt>
                <c:pt idx="131">
                  <c:v>416.04159869292658</c:v>
                </c:pt>
                <c:pt idx="132">
                  <c:v>416.04159869292658</c:v>
                </c:pt>
                <c:pt idx="133">
                  <c:v>416.04159869292658</c:v>
                </c:pt>
                <c:pt idx="134">
                  <c:v>416.04159869292658</c:v>
                </c:pt>
                <c:pt idx="135">
                  <c:v>434.02680627612671</c:v>
                </c:pt>
                <c:pt idx="136">
                  <c:v>434.02680627612671</c:v>
                </c:pt>
                <c:pt idx="137">
                  <c:v>434.02680627612671</c:v>
                </c:pt>
                <c:pt idx="138">
                  <c:v>462.02774841541464</c:v>
                </c:pt>
                <c:pt idx="139">
                  <c:v>462.02774841541464</c:v>
                </c:pt>
                <c:pt idx="140">
                  <c:v>462.02774841541464</c:v>
                </c:pt>
                <c:pt idx="141">
                  <c:v>462.7475944282906</c:v>
                </c:pt>
              </c:numCache>
            </c:numRef>
          </c:xVal>
          <c:yVal>
            <c:numRef>
              <c:f>Path!$T$24:$T$168</c:f>
              <c:numCache>
                <c:formatCode>0.0</c:formatCode>
                <c:ptCount val="145"/>
                <c:pt idx="0">
                  <c:v>-127.00039187143946</c:v>
                </c:pt>
                <c:pt idx="1">
                  <c:v>-127.00039187143946</c:v>
                </c:pt>
                <c:pt idx="2">
                  <c:v>-127.00039187143946</c:v>
                </c:pt>
                <c:pt idx="3">
                  <c:v>-127.07212951978944</c:v>
                </c:pt>
                <c:pt idx="4">
                  <c:v>-127.07212951978944</c:v>
                </c:pt>
                <c:pt idx="5">
                  <c:v>-127.07212951978944</c:v>
                </c:pt>
                <c:pt idx="6">
                  <c:v>-151.39206161900674</c:v>
                </c:pt>
                <c:pt idx="7">
                  <c:v>-151.39206161900674</c:v>
                </c:pt>
                <c:pt idx="8">
                  <c:v>-151.39206161900674</c:v>
                </c:pt>
                <c:pt idx="9">
                  <c:v>-180.677961508115</c:v>
                </c:pt>
                <c:pt idx="10">
                  <c:v>-180.677961508115</c:v>
                </c:pt>
                <c:pt idx="11">
                  <c:v>-180.677961508115</c:v>
                </c:pt>
                <c:pt idx="12">
                  <c:v>-201.90436989006113</c:v>
                </c:pt>
                <c:pt idx="13">
                  <c:v>-201.90436989006113</c:v>
                </c:pt>
                <c:pt idx="14">
                  <c:v>-201.90436989006113</c:v>
                </c:pt>
                <c:pt idx="15">
                  <c:v>-205.74367306303722</c:v>
                </c:pt>
                <c:pt idx="16">
                  <c:v>-205.74367306303722</c:v>
                </c:pt>
                <c:pt idx="17">
                  <c:v>-205.74367306303722</c:v>
                </c:pt>
                <c:pt idx="18">
                  <c:v>-190.26516941306073</c:v>
                </c:pt>
                <c:pt idx="19">
                  <c:v>-190.26516941306073</c:v>
                </c:pt>
                <c:pt idx="20">
                  <c:v>-190.26516941306073</c:v>
                </c:pt>
                <c:pt idx="21">
                  <c:v>-190.26516941306073</c:v>
                </c:pt>
                <c:pt idx="22">
                  <c:v>-190.26516941306073</c:v>
                </c:pt>
                <c:pt idx="23">
                  <c:v>-190.26516941306073</c:v>
                </c:pt>
                <c:pt idx="24">
                  <c:v>-279.39272801092221</c:v>
                </c:pt>
                <c:pt idx="25">
                  <c:v>-279.39272801092221</c:v>
                </c:pt>
                <c:pt idx="26">
                  <c:v>-279.39272801092221</c:v>
                </c:pt>
                <c:pt idx="27">
                  <c:v>-316.45402043576183</c:v>
                </c:pt>
                <c:pt idx="28">
                  <c:v>-316.45402043576183</c:v>
                </c:pt>
                <c:pt idx="29">
                  <c:v>-316.45402043576183</c:v>
                </c:pt>
                <c:pt idx="30">
                  <c:v>-322.65603842590792</c:v>
                </c:pt>
                <c:pt idx="31">
                  <c:v>-322.65603842590792</c:v>
                </c:pt>
                <c:pt idx="32">
                  <c:v>-322.65603842590792</c:v>
                </c:pt>
                <c:pt idx="33">
                  <c:v>-290.94779226156112</c:v>
                </c:pt>
                <c:pt idx="34">
                  <c:v>-290.94779226156112</c:v>
                </c:pt>
                <c:pt idx="35">
                  <c:v>-290.94779226156112</c:v>
                </c:pt>
                <c:pt idx="36">
                  <c:v>-359.20444979285952</c:v>
                </c:pt>
                <c:pt idx="37">
                  <c:v>-359.20444979285952</c:v>
                </c:pt>
                <c:pt idx="38">
                  <c:v>-359.20444979285952</c:v>
                </c:pt>
                <c:pt idx="39">
                  <c:v>-406.51479138510712</c:v>
                </c:pt>
                <c:pt idx="40">
                  <c:v>-406.51479138510712</c:v>
                </c:pt>
                <c:pt idx="41">
                  <c:v>-406.51479138510712</c:v>
                </c:pt>
                <c:pt idx="42">
                  <c:v>-414.87897754375382</c:v>
                </c:pt>
                <c:pt idx="43">
                  <c:v>-414.87897754375382</c:v>
                </c:pt>
                <c:pt idx="44">
                  <c:v>-414.87897754375382</c:v>
                </c:pt>
                <c:pt idx="45">
                  <c:v>-374.11029828801213</c:v>
                </c:pt>
                <c:pt idx="46">
                  <c:v>-374.11029828801213</c:v>
                </c:pt>
                <c:pt idx="47">
                  <c:v>-374.11029828801213</c:v>
                </c:pt>
                <c:pt idx="48">
                  <c:v>-376.69254643497777</c:v>
                </c:pt>
                <c:pt idx="49">
                  <c:v>-376.69254643497777</c:v>
                </c:pt>
                <c:pt idx="50">
                  <c:v>-376.69254643497777</c:v>
                </c:pt>
                <c:pt idx="51">
                  <c:v>-426.46788682350495</c:v>
                </c:pt>
                <c:pt idx="52">
                  <c:v>-426.46788682350495</c:v>
                </c:pt>
                <c:pt idx="53">
                  <c:v>-426.46788682350495</c:v>
                </c:pt>
                <c:pt idx="54">
                  <c:v>-391.36928731470772</c:v>
                </c:pt>
                <c:pt idx="55">
                  <c:v>-391.36928731470772</c:v>
                </c:pt>
                <c:pt idx="56">
                  <c:v>-391.36928731470772</c:v>
                </c:pt>
                <c:pt idx="57">
                  <c:v>-436.07858770663262</c:v>
                </c:pt>
                <c:pt idx="58">
                  <c:v>-436.07858770663262</c:v>
                </c:pt>
                <c:pt idx="59">
                  <c:v>-436.07858770663262</c:v>
                </c:pt>
                <c:pt idx="60">
                  <c:v>-493.92717508200377</c:v>
                </c:pt>
                <c:pt idx="61">
                  <c:v>-493.92717508200377</c:v>
                </c:pt>
                <c:pt idx="62">
                  <c:v>-493.92717508200377</c:v>
                </c:pt>
                <c:pt idx="63">
                  <c:v>-501.30191447788332</c:v>
                </c:pt>
                <c:pt idx="64">
                  <c:v>-501.30191447788332</c:v>
                </c:pt>
                <c:pt idx="65">
                  <c:v>-501.30191447788332</c:v>
                </c:pt>
                <c:pt idx="66">
                  <c:v>-454.12401504627451</c:v>
                </c:pt>
                <c:pt idx="67">
                  <c:v>-454.12401504627451</c:v>
                </c:pt>
                <c:pt idx="68">
                  <c:v>-454.12401504627451</c:v>
                </c:pt>
                <c:pt idx="69">
                  <c:v>-497.48157082034675</c:v>
                </c:pt>
                <c:pt idx="70">
                  <c:v>-497.48157082034675</c:v>
                </c:pt>
                <c:pt idx="71">
                  <c:v>-497.48157082034675</c:v>
                </c:pt>
                <c:pt idx="72">
                  <c:v>-553.47106303977023</c:v>
                </c:pt>
                <c:pt idx="73">
                  <c:v>-553.47106303977023</c:v>
                </c:pt>
                <c:pt idx="74">
                  <c:v>-553.47106303977023</c:v>
                </c:pt>
                <c:pt idx="75">
                  <c:v>-557.92294941941134</c:v>
                </c:pt>
                <c:pt idx="76">
                  <c:v>-557.92294941941134</c:v>
                </c:pt>
                <c:pt idx="77">
                  <c:v>-557.92294941941134</c:v>
                </c:pt>
                <c:pt idx="78">
                  <c:v>-517.17368525081372</c:v>
                </c:pt>
                <c:pt idx="79">
                  <c:v>-517.17368525081372</c:v>
                </c:pt>
                <c:pt idx="80">
                  <c:v>-517.17368525081372</c:v>
                </c:pt>
                <c:pt idx="81">
                  <c:v>-524.15409841415214</c:v>
                </c:pt>
                <c:pt idx="82">
                  <c:v>-524.15409841415214</c:v>
                </c:pt>
                <c:pt idx="83">
                  <c:v>-524.15409841415214</c:v>
                </c:pt>
                <c:pt idx="84">
                  <c:v>-603.156554700725</c:v>
                </c:pt>
                <c:pt idx="85">
                  <c:v>-603.156554700725</c:v>
                </c:pt>
                <c:pt idx="86">
                  <c:v>-603.156554700725</c:v>
                </c:pt>
                <c:pt idx="87">
                  <c:v>-602.30132814941703</c:v>
                </c:pt>
                <c:pt idx="88">
                  <c:v>-602.30132814941703</c:v>
                </c:pt>
                <c:pt idx="89">
                  <c:v>-602.30132814941703</c:v>
                </c:pt>
                <c:pt idx="90">
                  <c:v>-541.93441227403468</c:v>
                </c:pt>
                <c:pt idx="91">
                  <c:v>-541.93441227403468</c:v>
                </c:pt>
                <c:pt idx="92">
                  <c:v>-541.93441227403468</c:v>
                </c:pt>
                <c:pt idx="93">
                  <c:v>-564.3331934628643</c:v>
                </c:pt>
                <c:pt idx="94">
                  <c:v>-564.3331934628643</c:v>
                </c:pt>
                <c:pt idx="95">
                  <c:v>-564.3331934628643</c:v>
                </c:pt>
                <c:pt idx="96">
                  <c:v>-645.21347709882684</c:v>
                </c:pt>
                <c:pt idx="97">
                  <c:v>-645.21347709882684</c:v>
                </c:pt>
                <c:pt idx="98">
                  <c:v>-645.21347709882684</c:v>
                </c:pt>
                <c:pt idx="99">
                  <c:v>-661.82382522026239</c:v>
                </c:pt>
                <c:pt idx="100">
                  <c:v>-661.82382522026239</c:v>
                </c:pt>
                <c:pt idx="101">
                  <c:v>-661.82382522026239</c:v>
                </c:pt>
                <c:pt idx="102">
                  <c:v>-604.8748084835529</c:v>
                </c:pt>
                <c:pt idx="103">
                  <c:v>-604.8748084835529</c:v>
                </c:pt>
                <c:pt idx="104">
                  <c:v>-604.8748084835529</c:v>
                </c:pt>
                <c:pt idx="105">
                  <c:v>-609.26914665820732</c:v>
                </c:pt>
                <c:pt idx="106">
                  <c:v>-609.26914665820732</c:v>
                </c:pt>
                <c:pt idx="107">
                  <c:v>-609.26914665820732</c:v>
                </c:pt>
                <c:pt idx="108">
                  <c:v>-696.58695170322028</c:v>
                </c:pt>
                <c:pt idx="109">
                  <c:v>-696.58695170322028</c:v>
                </c:pt>
                <c:pt idx="110">
                  <c:v>-696.58695170322028</c:v>
                </c:pt>
                <c:pt idx="111">
                  <c:v>-720.13738426265297</c:v>
                </c:pt>
                <c:pt idx="112">
                  <c:v>-720.13738426265297</c:v>
                </c:pt>
                <c:pt idx="113">
                  <c:v>-720.13738426265297</c:v>
                </c:pt>
                <c:pt idx="114">
                  <c:v>-653.17996431128938</c:v>
                </c:pt>
                <c:pt idx="115">
                  <c:v>-653.17996431128938</c:v>
                </c:pt>
                <c:pt idx="116">
                  <c:v>-653.17996431128938</c:v>
                </c:pt>
                <c:pt idx="117">
                  <c:v>-740.9577229128829</c:v>
                </c:pt>
                <c:pt idx="118">
                  <c:v>-740.9577229128829</c:v>
                </c:pt>
                <c:pt idx="119">
                  <c:v>-740.9577229128829</c:v>
                </c:pt>
                <c:pt idx="120">
                  <c:v>-847.24233449553174</c:v>
                </c:pt>
                <c:pt idx="121">
                  <c:v>-847.24233449553174</c:v>
                </c:pt>
                <c:pt idx="122">
                  <c:v>-847.24233449553174</c:v>
                </c:pt>
                <c:pt idx="123">
                  <c:v>-875.9694715277966</c:v>
                </c:pt>
                <c:pt idx="124">
                  <c:v>-875.9694715277966</c:v>
                </c:pt>
                <c:pt idx="125">
                  <c:v>-875.9694715277966</c:v>
                </c:pt>
                <c:pt idx="126">
                  <c:v>-794.560583538213</c:v>
                </c:pt>
                <c:pt idx="127">
                  <c:v>-794.560583538213</c:v>
                </c:pt>
                <c:pt idx="128">
                  <c:v>-794.560583538213</c:v>
                </c:pt>
                <c:pt idx="129">
                  <c:v>-798.96210344439635</c:v>
                </c:pt>
                <c:pt idx="130">
                  <c:v>-798.96210344439635</c:v>
                </c:pt>
                <c:pt idx="131">
                  <c:v>-798.96210344439635</c:v>
                </c:pt>
                <c:pt idx="132">
                  <c:v>-798.96210344439635</c:v>
                </c:pt>
                <c:pt idx="133">
                  <c:v>-798.96210344439635</c:v>
                </c:pt>
                <c:pt idx="134">
                  <c:v>-798.96210344439635</c:v>
                </c:pt>
                <c:pt idx="135">
                  <c:v>-840.66071308192147</c:v>
                </c:pt>
                <c:pt idx="136">
                  <c:v>-840.66071308192147</c:v>
                </c:pt>
                <c:pt idx="137">
                  <c:v>-840.66071308192147</c:v>
                </c:pt>
                <c:pt idx="138">
                  <c:v>-905.58075036093067</c:v>
                </c:pt>
                <c:pt idx="139">
                  <c:v>-905.58075036093067</c:v>
                </c:pt>
                <c:pt idx="140">
                  <c:v>-905.58075036093067</c:v>
                </c:pt>
                <c:pt idx="141">
                  <c:v>-907.24970957280743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D6-44A7-9453-0F20D8646F79}"/>
            </c:ext>
          </c:extLst>
        </c:ser>
        <c:ser>
          <c:idx val="2"/>
          <c:order val="2"/>
          <c:tx>
            <c:v>Parabolic (+)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Path!$O$24:$O$168</c:f>
              <c:numCache>
                <c:formatCode>0.0</c:formatCode>
                <c:ptCount val="145"/>
                <c:pt idx="0">
                  <c:v>1.2541546914346694E-3</c:v>
                </c:pt>
                <c:pt idx="1">
                  <c:v>1.2541546914346694E-3</c:v>
                </c:pt>
                <c:pt idx="2">
                  <c:v>1.2541546914346694E-3</c:v>
                </c:pt>
                <c:pt idx="3">
                  <c:v>5.4023301165111309E-2</c:v>
                </c:pt>
                <c:pt idx="4">
                  <c:v>5.4023301165111309E-2</c:v>
                </c:pt>
                <c:pt idx="5">
                  <c:v>5.4023301165111309E-2</c:v>
                </c:pt>
                <c:pt idx="6">
                  <c:v>17.943403406248844</c:v>
                </c:pt>
                <c:pt idx="7">
                  <c:v>17.943403406248844</c:v>
                </c:pt>
                <c:pt idx="8">
                  <c:v>17.943403406248844</c:v>
                </c:pt>
                <c:pt idx="9">
                  <c:v>39.485675510394529</c:v>
                </c:pt>
                <c:pt idx="10">
                  <c:v>39.485675510394529</c:v>
                </c:pt>
                <c:pt idx="11">
                  <c:v>39.485675510394529</c:v>
                </c:pt>
                <c:pt idx="12">
                  <c:v>40.988113638086659</c:v>
                </c:pt>
                <c:pt idx="13">
                  <c:v>40.988113638086659</c:v>
                </c:pt>
                <c:pt idx="14">
                  <c:v>40.988113638086659</c:v>
                </c:pt>
                <c:pt idx="15">
                  <c:v>43.215335054211842</c:v>
                </c:pt>
                <c:pt idx="16">
                  <c:v>43.215335054211842</c:v>
                </c:pt>
                <c:pt idx="17">
                  <c:v>43.215335054211842</c:v>
                </c:pt>
                <c:pt idx="18">
                  <c:v>44.665364740744536</c:v>
                </c:pt>
                <c:pt idx="19">
                  <c:v>44.665364740744536</c:v>
                </c:pt>
                <c:pt idx="20">
                  <c:v>44.665364740744536</c:v>
                </c:pt>
                <c:pt idx="21">
                  <c:v>46.549688331419766</c:v>
                </c:pt>
                <c:pt idx="22">
                  <c:v>46.549688331419766</c:v>
                </c:pt>
                <c:pt idx="23">
                  <c:v>46.549688331419766</c:v>
                </c:pt>
                <c:pt idx="24">
                  <c:v>112.11059397271197</c:v>
                </c:pt>
                <c:pt idx="25">
                  <c:v>112.11059397271197</c:v>
                </c:pt>
                <c:pt idx="26">
                  <c:v>112.11059397271197</c:v>
                </c:pt>
                <c:pt idx="27">
                  <c:v>114.5951147102783</c:v>
                </c:pt>
                <c:pt idx="28">
                  <c:v>114.5951147102783</c:v>
                </c:pt>
                <c:pt idx="29">
                  <c:v>114.5951147102783</c:v>
                </c:pt>
                <c:pt idx="30">
                  <c:v>118.07850879064127</c:v>
                </c:pt>
                <c:pt idx="31">
                  <c:v>118.07850879064127</c:v>
                </c:pt>
                <c:pt idx="32">
                  <c:v>118.07850879064127</c:v>
                </c:pt>
                <c:pt idx="33">
                  <c:v>120.64088552018306</c:v>
                </c:pt>
                <c:pt idx="34">
                  <c:v>120.64088552018306</c:v>
                </c:pt>
                <c:pt idx="35">
                  <c:v>120.64088552018306</c:v>
                </c:pt>
                <c:pt idx="36">
                  <c:v>170.84676616081998</c:v>
                </c:pt>
                <c:pt idx="37">
                  <c:v>170.84676616081998</c:v>
                </c:pt>
                <c:pt idx="38">
                  <c:v>170.84676616081998</c:v>
                </c:pt>
                <c:pt idx="39">
                  <c:v>174.05562754046974</c:v>
                </c:pt>
                <c:pt idx="40">
                  <c:v>174.05562754046974</c:v>
                </c:pt>
                <c:pt idx="41">
                  <c:v>174.05562754046974</c:v>
                </c:pt>
                <c:pt idx="42">
                  <c:v>178.54473745716049</c:v>
                </c:pt>
                <c:pt idx="43">
                  <c:v>178.54473745716049</c:v>
                </c:pt>
                <c:pt idx="44">
                  <c:v>178.54473745716049</c:v>
                </c:pt>
                <c:pt idx="45">
                  <c:v>181.83941181901429</c:v>
                </c:pt>
                <c:pt idx="46">
                  <c:v>181.83941181901429</c:v>
                </c:pt>
                <c:pt idx="47">
                  <c:v>181.83941181901429</c:v>
                </c:pt>
                <c:pt idx="48">
                  <c:v>183.73887512496501</c:v>
                </c:pt>
                <c:pt idx="49">
                  <c:v>183.73887512496501</c:v>
                </c:pt>
                <c:pt idx="50">
                  <c:v>183.73887512496501</c:v>
                </c:pt>
                <c:pt idx="51">
                  <c:v>187.08146834809034</c:v>
                </c:pt>
                <c:pt idx="52">
                  <c:v>187.08146834809034</c:v>
                </c:pt>
                <c:pt idx="53">
                  <c:v>187.08146834809034</c:v>
                </c:pt>
                <c:pt idx="54">
                  <c:v>194.53930487804482</c:v>
                </c:pt>
                <c:pt idx="55">
                  <c:v>194.53930487804482</c:v>
                </c:pt>
                <c:pt idx="56">
                  <c:v>194.53930487804482</c:v>
                </c:pt>
                <c:pt idx="57">
                  <c:v>227.44620723451311</c:v>
                </c:pt>
                <c:pt idx="58">
                  <c:v>227.44620723451311</c:v>
                </c:pt>
                <c:pt idx="59">
                  <c:v>227.44620723451311</c:v>
                </c:pt>
                <c:pt idx="60">
                  <c:v>231.32413150301491</c:v>
                </c:pt>
                <c:pt idx="61">
                  <c:v>231.32413150301491</c:v>
                </c:pt>
                <c:pt idx="62">
                  <c:v>231.32413150301491</c:v>
                </c:pt>
                <c:pt idx="63">
                  <c:v>236.827607150864</c:v>
                </c:pt>
                <c:pt idx="64">
                  <c:v>236.827607150864</c:v>
                </c:pt>
                <c:pt idx="65">
                  <c:v>236.827607150864</c:v>
                </c:pt>
                <c:pt idx="66">
                  <c:v>240.73272527637991</c:v>
                </c:pt>
                <c:pt idx="67">
                  <c:v>240.73272527637991</c:v>
                </c:pt>
                <c:pt idx="68">
                  <c:v>240.73272527637991</c:v>
                </c:pt>
                <c:pt idx="69">
                  <c:v>272.62589802477845</c:v>
                </c:pt>
                <c:pt idx="70">
                  <c:v>272.62589802477845</c:v>
                </c:pt>
                <c:pt idx="71">
                  <c:v>272.62589802477845</c:v>
                </c:pt>
                <c:pt idx="72">
                  <c:v>276.66509260115197</c:v>
                </c:pt>
                <c:pt idx="73">
                  <c:v>276.66509260115197</c:v>
                </c:pt>
                <c:pt idx="74">
                  <c:v>276.66509260115197</c:v>
                </c:pt>
                <c:pt idx="75">
                  <c:v>282.83175501432817</c:v>
                </c:pt>
                <c:pt idx="76">
                  <c:v>282.83175501432817</c:v>
                </c:pt>
                <c:pt idx="77">
                  <c:v>282.83175501432817</c:v>
                </c:pt>
                <c:pt idx="78">
                  <c:v>287.11748904164142</c:v>
                </c:pt>
                <c:pt idx="79">
                  <c:v>287.11748904164142</c:v>
                </c:pt>
                <c:pt idx="80">
                  <c:v>287.11748904164142</c:v>
                </c:pt>
                <c:pt idx="81">
                  <c:v>289.01356588901376</c:v>
                </c:pt>
                <c:pt idx="82">
                  <c:v>289.01356588901376</c:v>
                </c:pt>
                <c:pt idx="83">
                  <c:v>289.01356588901376</c:v>
                </c:pt>
                <c:pt idx="84">
                  <c:v>293.67539714584416</c:v>
                </c:pt>
                <c:pt idx="85">
                  <c:v>293.67539714584416</c:v>
                </c:pt>
                <c:pt idx="86">
                  <c:v>293.67539714584416</c:v>
                </c:pt>
                <c:pt idx="87">
                  <c:v>300.34360198138137</c:v>
                </c:pt>
                <c:pt idx="88">
                  <c:v>300.34360198138137</c:v>
                </c:pt>
                <c:pt idx="89">
                  <c:v>300.34360198138137</c:v>
                </c:pt>
                <c:pt idx="90">
                  <c:v>305.33805018479768</c:v>
                </c:pt>
                <c:pt idx="91">
                  <c:v>305.33805018479768</c:v>
                </c:pt>
                <c:pt idx="92">
                  <c:v>305.33805018479768</c:v>
                </c:pt>
                <c:pt idx="93">
                  <c:v>314.99896519903882</c:v>
                </c:pt>
                <c:pt idx="94">
                  <c:v>314.99896519903882</c:v>
                </c:pt>
                <c:pt idx="95">
                  <c:v>314.99896519903882</c:v>
                </c:pt>
                <c:pt idx="96">
                  <c:v>320.08237995918807</c:v>
                </c:pt>
                <c:pt idx="97">
                  <c:v>320.08237995918807</c:v>
                </c:pt>
                <c:pt idx="98">
                  <c:v>320.08237995918807</c:v>
                </c:pt>
                <c:pt idx="99">
                  <c:v>327.31360170491905</c:v>
                </c:pt>
                <c:pt idx="100">
                  <c:v>327.31360170491905</c:v>
                </c:pt>
                <c:pt idx="101">
                  <c:v>327.31360170491905</c:v>
                </c:pt>
                <c:pt idx="102">
                  <c:v>332.45650577871135</c:v>
                </c:pt>
                <c:pt idx="103">
                  <c:v>332.45650577871135</c:v>
                </c:pt>
                <c:pt idx="104">
                  <c:v>332.45650577871135</c:v>
                </c:pt>
                <c:pt idx="105">
                  <c:v>334.35183301794285</c:v>
                </c:pt>
                <c:pt idx="106">
                  <c:v>334.35183301794285</c:v>
                </c:pt>
                <c:pt idx="107">
                  <c:v>334.35183301794285</c:v>
                </c:pt>
                <c:pt idx="108">
                  <c:v>339.84280899565243</c:v>
                </c:pt>
                <c:pt idx="109">
                  <c:v>339.84280899565243</c:v>
                </c:pt>
                <c:pt idx="110">
                  <c:v>339.84280899565243</c:v>
                </c:pt>
                <c:pt idx="111">
                  <c:v>347.48930897885367</c:v>
                </c:pt>
                <c:pt idx="112">
                  <c:v>347.48930897885367</c:v>
                </c:pt>
                <c:pt idx="113">
                  <c:v>347.48930897885367</c:v>
                </c:pt>
                <c:pt idx="114">
                  <c:v>353.27288705892704</c:v>
                </c:pt>
                <c:pt idx="115">
                  <c:v>353.27288705892704</c:v>
                </c:pt>
                <c:pt idx="116">
                  <c:v>353.27288705892704</c:v>
                </c:pt>
                <c:pt idx="117">
                  <c:v>391.13269157905142</c:v>
                </c:pt>
                <c:pt idx="118">
                  <c:v>391.13269157905142</c:v>
                </c:pt>
                <c:pt idx="119">
                  <c:v>391.13269157905142</c:v>
                </c:pt>
                <c:pt idx="120">
                  <c:v>397.81036324517828</c:v>
                </c:pt>
                <c:pt idx="121">
                  <c:v>397.81036324517828</c:v>
                </c:pt>
                <c:pt idx="122">
                  <c:v>397.81036324517828</c:v>
                </c:pt>
                <c:pt idx="123">
                  <c:v>407.10944264944067</c:v>
                </c:pt>
                <c:pt idx="124">
                  <c:v>407.10944264944067</c:v>
                </c:pt>
                <c:pt idx="125">
                  <c:v>407.10944264944067</c:v>
                </c:pt>
                <c:pt idx="126">
                  <c:v>414.14316011469992</c:v>
                </c:pt>
                <c:pt idx="127">
                  <c:v>414.14316011469992</c:v>
                </c:pt>
                <c:pt idx="128">
                  <c:v>414.14316011469992</c:v>
                </c:pt>
                <c:pt idx="129">
                  <c:v>416.04159869292658</c:v>
                </c:pt>
                <c:pt idx="130">
                  <c:v>416.04159869292658</c:v>
                </c:pt>
                <c:pt idx="131">
                  <c:v>416.04159869292658</c:v>
                </c:pt>
                <c:pt idx="132">
                  <c:v>416.04159869292658</c:v>
                </c:pt>
                <c:pt idx="133">
                  <c:v>416.04159869292658</c:v>
                </c:pt>
                <c:pt idx="134">
                  <c:v>416.04159869292658</c:v>
                </c:pt>
                <c:pt idx="135">
                  <c:v>434.02680627612671</c:v>
                </c:pt>
                <c:pt idx="136">
                  <c:v>434.02680627612671</c:v>
                </c:pt>
                <c:pt idx="137">
                  <c:v>434.02680627612671</c:v>
                </c:pt>
                <c:pt idx="138">
                  <c:v>462.02774841541464</c:v>
                </c:pt>
                <c:pt idx="139">
                  <c:v>462.02774841541464</c:v>
                </c:pt>
                <c:pt idx="140">
                  <c:v>462.02774841541464</c:v>
                </c:pt>
                <c:pt idx="141">
                  <c:v>462.7475944282906</c:v>
                </c:pt>
              </c:numCache>
            </c:numRef>
          </c:xVal>
          <c:yVal>
            <c:numRef>
              <c:f>Path!$Y$24:$Y$168</c:f>
              <c:numCache>
                <c:formatCode>0</c:formatCode>
                <c:ptCount val="145"/>
                <c:pt idx="0">
                  <c:v>127.01036480227398</c:v>
                </c:pt>
                <c:pt idx="1">
                  <c:v>127.01036480227398</c:v>
                </c:pt>
                <c:pt idx="2">
                  <c:v>127.01036480227398</c:v>
                </c:pt>
                <c:pt idx="3">
                  <c:v>127.08207311951959</c:v>
                </c:pt>
                <c:pt idx="4">
                  <c:v>127.08207311951959</c:v>
                </c:pt>
                <c:pt idx="5">
                  <c:v>127.08207311951959</c:v>
                </c:pt>
                <c:pt idx="6">
                  <c:v>151.39206161900674</c:v>
                </c:pt>
                <c:pt idx="7">
                  <c:v>151.39206161900674</c:v>
                </c:pt>
                <c:pt idx="8">
                  <c:v>151.39206161900674</c:v>
                </c:pt>
                <c:pt idx="9">
                  <c:v>180.66598749169717</c:v>
                </c:pt>
                <c:pt idx="10">
                  <c:v>180.66598749169717</c:v>
                </c:pt>
                <c:pt idx="11">
                  <c:v>180.66598749169717</c:v>
                </c:pt>
                <c:pt idx="12">
                  <c:v>182.70765989123478</c:v>
                </c:pt>
                <c:pt idx="13">
                  <c:v>182.70765989123478</c:v>
                </c:pt>
                <c:pt idx="14">
                  <c:v>182.70765989123478</c:v>
                </c:pt>
                <c:pt idx="15">
                  <c:v>185.7342447529667</c:v>
                </c:pt>
                <c:pt idx="16">
                  <c:v>185.7342447529667</c:v>
                </c:pt>
                <c:pt idx="17">
                  <c:v>185.7342447529667</c:v>
                </c:pt>
                <c:pt idx="18">
                  <c:v>187.70469899992563</c:v>
                </c:pt>
                <c:pt idx="19">
                  <c:v>187.70469899992563</c:v>
                </c:pt>
                <c:pt idx="20">
                  <c:v>187.70469899992563</c:v>
                </c:pt>
                <c:pt idx="21">
                  <c:v>190.26531790061128</c:v>
                </c:pt>
                <c:pt idx="22">
                  <c:v>190.26531790061128</c:v>
                </c:pt>
                <c:pt idx="23">
                  <c:v>190.26531790061128</c:v>
                </c:pt>
                <c:pt idx="24">
                  <c:v>279.3564352447421</c:v>
                </c:pt>
                <c:pt idx="25">
                  <c:v>279.3564352447421</c:v>
                </c:pt>
                <c:pt idx="26">
                  <c:v>279.3564352447421</c:v>
                </c:pt>
                <c:pt idx="27">
                  <c:v>282.73266573468572</c:v>
                </c:pt>
                <c:pt idx="28">
                  <c:v>282.73266573468572</c:v>
                </c:pt>
                <c:pt idx="29">
                  <c:v>282.73266573468572</c:v>
                </c:pt>
                <c:pt idx="30">
                  <c:v>287.46627134513062</c:v>
                </c:pt>
                <c:pt idx="31">
                  <c:v>287.46627134513062</c:v>
                </c:pt>
                <c:pt idx="32">
                  <c:v>287.46627134513062</c:v>
                </c:pt>
                <c:pt idx="33">
                  <c:v>290.94830082075305</c:v>
                </c:pt>
                <c:pt idx="34">
                  <c:v>290.94830082075305</c:v>
                </c:pt>
                <c:pt idx="35">
                  <c:v>290.94830082075305</c:v>
                </c:pt>
                <c:pt idx="36">
                  <c:v>359.17338038254672</c:v>
                </c:pt>
                <c:pt idx="37">
                  <c:v>359.17338038254672</c:v>
                </c:pt>
                <c:pt idx="38">
                  <c:v>359.17338038254672</c:v>
                </c:pt>
                <c:pt idx="39">
                  <c:v>363.53392181984157</c:v>
                </c:pt>
                <c:pt idx="40">
                  <c:v>363.53392181984157</c:v>
                </c:pt>
                <c:pt idx="41">
                  <c:v>363.53392181984157</c:v>
                </c:pt>
                <c:pt idx="42">
                  <c:v>369.63420085727302</c:v>
                </c:pt>
                <c:pt idx="43">
                  <c:v>369.63420085727302</c:v>
                </c:pt>
                <c:pt idx="44">
                  <c:v>369.63420085727302</c:v>
                </c:pt>
                <c:pt idx="45">
                  <c:v>374.11135408313913</c:v>
                </c:pt>
                <c:pt idx="46">
                  <c:v>374.11135408313913</c:v>
                </c:pt>
                <c:pt idx="47">
                  <c:v>374.11135408313913</c:v>
                </c:pt>
                <c:pt idx="48">
                  <c:v>376.6925464358992</c:v>
                </c:pt>
                <c:pt idx="49">
                  <c:v>376.6925464358992</c:v>
                </c:pt>
                <c:pt idx="50">
                  <c:v>376.6925464358992</c:v>
                </c:pt>
                <c:pt idx="51">
                  <c:v>381.23481689665977</c:v>
                </c:pt>
                <c:pt idx="52">
                  <c:v>381.23481689665977</c:v>
                </c:pt>
                <c:pt idx="53">
                  <c:v>381.23481689665977</c:v>
                </c:pt>
                <c:pt idx="54">
                  <c:v>391.36931676246161</c:v>
                </c:pt>
                <c:pt idx="55">
                  <c:v>391.36931676246161</c:v>
                </c:pt>
                <c:pt idx="56">
                  <c:v>391.36931676246161</c:v>
                </c:pt>
                <c:pt idx="57">
                  <c:v>436.08670848539555</c:v>
                </c:pt>
                <c:pt idx="58">
                  <c:v>436.08670848539555</c:v>
                </c:pt>
                <c:pt idx="59">
                  <c:v>436.08670848539555</c:v>
                </c:pt>
                <c:pt idx="60">
                  <c:v>441.3564435916652</c:v>
                </c:pt>
                <c:pt idx="61">
                  <c:v>441.3564435916652</c:v>
                </c:pt>
                <c:pt idx="62">
                  <c:v>441.3564435916652</c:v>
                </c:pt>
                <c:pt idx="63">
                  <c:v>448.83515045129514</c:v>
                </c:pt>
                <c:pt idx="64">
                  <c:v>448.83515045129514</c:v>
                </c:pt>
                <c:pt idx="65">
                  <c:v>448.83515045129514</c:v>
                </c:pt>
                <c:pt idx="66">
                  <c:v>454.14183945688308</c:v>
                </c:pt>
                <c:pt idx="67">
                  <c:v>454.14183945688308</c:v>
                </c:pt>
                <c:pt idx="68">
                  <c:v>454.14183945688308</c:v>
                </c:pt>
                <c:pt idx="69">
                  <c:v>497.48166778919051</c:v>
                </c:pt>
                <c:pt idx="70">
                  <c:v>497.48166778919051</c:v>
                </c:pt>
                <c:pt idx="71">
                  <c:v>497.48166778919051</c:v>
                </c:pt>
                <c:pt idx="72">
                  <c:v>502.9705541073323</c:v>
                </c:pt>
                <c:pt idx="73">
                  <c:v>502.9705541073323</c:v>
                </c:pt>
                <c:pt idx="74">
                  <c:v>502.9705541073323</c:v>
                </c:pt>
                <c:pt idx="75">
                  <c:v>511.35046953558856</c:v>
                </c:pt>
                <c:pt idx="76">
                  <c:v>511.35046953558856</c:v>
                </c:pt>
                <c:pt idx="77">
                  <c:v>511.35046953558856</c:v>
                </c:pt>
                <c:pt idx="78">
                  <c:v>517.17437982783167</c:v>
                </c:pt>
                <c:pt idx="79">
                  <c:v>517.17437982783167</c:v>
                </c:pt>
                <c:pt idx="80">
                  <c:v>517.17437982783167</c:v>
                </c:pt>
                <c:pt idx="81">
                  <c:v>519.75097030123027</c:v>
                </c:pt>
                <c:pt idx="82">
                  <c:v>519.75097030123027</c:v>
                </c:pt>
                <c:pt idx="83">
                  <c:v>519.75097030123027</c:v>
                </c:pt>
                <c:pt idx="84">
                  <c:v>526.08596142861381</c:v>
                </c:pt>
                <c:pt idx="85">
                  <c:v>526.08596142861381</c:v>
                </c:pt>
                <c:pt idx="86">
                  <c:v>526.08596142861381</c:v>
                </c:pt>
                <c:pt idx="87">
                  <c:v>535.14742593503729</c:v>
                </c:pt>
                <c:pt idx="88">
                  <c:v>530.34332140948072</c:v>
                </c:pt>
                <c:pt idx="89">
                  <c:v>530.34332140948072</c:v>
                </c:pt>
                <c:pt idx="90">
                  <c:v>541.93441227403468</c:v>
                </c:pt>
                <c:pt idx="91">
                  <c:v>541.93441227403468</c:v>
                </c:pt>
                <c:pt idx="92">
                  <c:v>541.93441227403468</c:v>
                </c:pt>
                <c:pt idx="93">
                  <c:v>564.35541639781468</c:v>
                </c:pt>
                <c:pt idx="94">
                  <c:v>564.35541639781468</c:v>
                </c:pt>
                <c:pt idx="95">
                  <c:v>564.35541639781468</c:v>
                </c:pt>
                <c:pt idx="96">
                  <c:v>576.15298041035169</c:v>
                </c:pt>
                <c:pt idx="97">
                  <c:v>576.15298041035169</c:v>
                </c:pt>
                <c:pt idx="98">
                  <c:v>576.15298041035169</c:v>
                </c:pt>
                <c:pt idx="99">
                  <c:v>592.93516432792103</c:v>
                </c:pt>
                <c:pt idx="100">
                  <c:v>592.93516432792103</c:v>
                </c:pt>
                <c:pt idx="101">
                  <c:v>592.93516432792103</c:v>
                </c:pt>
                <c:pt idx="102">
                  <c:v>604.87079084743027</c:v>
                </c:pt>
                <c:pt idx="103">
                  <c:v>604.87079084743027</c:v>
                </c:pt>
                <c:pt idx="104">
                  <c:v>604.87079084743027</c:v>
                </c:pt>
                <c:pt idx="105">
                  <c:v>609.26945699697001</c:v>
                </c:pt>
                <c:pt idx="106">
                  <c:v>609.26945699697001</c:v>
                </c:pt>
                <c:pt idx="107">
                  <c:v>609.26945699697001</c:v>
                </c:pt>
                <c:pt idx="108">
                  <c:v>622.01288708183483</c:v>
                </c:pt>
                <c:pt idx="109">
                  <c:v>622.01288708183483</c:v>
                </c:pt>
                <c:pt idx="110">
                  <c:v>622.01288708183483</c:v>
                </c:pt>
                <c:pt idx="111">
                  <c:v>639.75884669364336</c:v>
                </c:pt>
                <c:pt idx="112">
                  <c:v>639.75884669364336</c:v>
                </c:pt>
                <c:pt idx="113">
                  <c:v>639.75884669364336</c:v>
                </c:pt>
                <c:pt idx="114">
                  <c:v>653.18134630081067</c:v>
                </c:pt>
                <c:pt idx="115">
                  <c:v>653.18134630081067</c:v>
                </c:pt>
                <c:pt idx="116">
                  <c:v>653.18134630081067</c:v>
                </c:pt>
                <c:pt idx="117">
                  <c:v>741.04619471526394</c:v>
                </c:pt>
                <c:pt idx="118">
                  <c:v>741.04619471526394</c:v>
                </c:pt>
                <c:pt idx="119">
                  <c:v>741.04619471526394</c:v>
                </c:pt>
                <c:pt idx="120">
                  <c:v>756.5437023263728</c:v>
                </c:pt>
                <c:pt idx="121">
                  <c:v>756.5437023263728</c:v>
                </c:pt>
                <c:pt idx="122">
                  <c:v>756.5437023263728</c:v>
                </c:pt>
                <c:pt idx="123">
                  <c:v>778.12496014335829</c:v>
                </c:pt>
                <c:pt idx="124">
                  <c:v>778.12496014335829</c:v>
                </c:pt>
                <c:pt idx="125">
                  <c:v>778.12496014335829</c:v>
                </c:pt>
                <c:pt idx="126">
                  <c:v>794.44877709668117</c:v>
                </c:pt>
                <c:pt idx="127">
                  <c:v>794.44877709668117</c:v>
                </c:pt>
                <c:pt idx="128">
                  <c:v>794.44877709668117</c:v>
                </c:pt>
                <c:pt idx="129">
                  <c:v>798.85466402648217</c:v>
                </c:pt>
                <c:pt idx="130">
                  <c:v>798.85466402648217</c:v>
                </c:pt>
                <c:pt idx="131">
                  <c:v>798.85466402648217</c:v>
                </c:pt>
                <c:pt idx="132">
                  <c:v>798.85466402648217</c:v>
                </c:pt>
                <c:pt idx="133">
                  <c:v>798.85466402648217</c:v>
                </c:pt>
                <c:pt idx="134">
                  <c:v>798.85466402648217</c:v>
                </c:pt>
                <c:pt idx="135">
                  <c:v>840.59464546670233</c:v>
                </c:pt>
                <c:pt idx="136">
                  <c:v>840.59464546670233</c:v>
                </c:pt>
                <c:pt idx="137">
                  <c:v>840.59464546670233</c:v>
                </c:pt>
                <c:pt idx="138">
                  <c:v>905.57909448102919</c:v>
                </c:pt>
                <c:pt idx="139">
                  <c:v>905.57909448102919</c:v>
                </c:pt>
                <c:pt idx="140">
                  <c:v>905.57909448102919</c:v>
                </c:pt>
                <c:pt idx="141">
                  <c:v>907.24970957280743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D6-44A7-9453-0F20D8646F79}"/>
            </c:ext>
          </c:extLst>
        </c:ser>
        <c:ser>
          <c:idx val="3"/>
          <c:order val="3"/>
          <c:tx>
            <c:v>Parabolic (-)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Path!$O$24:$O$168</c:f>
              <c:numCache>
                <c:formatCode>0.0</c:formatCode>
                <c:ptCount val="145"/>
                <c:pt idx="0">
                  <c:v>1.2541546914346694E-3</c:v>
                </c:pt>
                <c:pt idx="1">
                  <c:v>1.2541546914346694E-3</c:v>
                </c:pt>
                <c:pt idx="2">
                  <c:v>1.2541546914346694E-3</c:v>
                </c:pt>
                <c:pt idx="3">
                  <c:v>5.4023301165111309E-2</c:v>
                </c:pt>
                <c:pt idx="4">
                  <c:v>5.4023301165111309E-2</c:v>
                </c:pt>
                <c:pt idx="5">
                  <c:v>5.4023301165111309E-2</c:v>
                </c:pt>
                <c:pt idx="6">
                  <c:v>17.943403406248844</c:v>
                </c:pt>
                <c:pt idx="7">
                  <c:v>17.943403406248844</c:v>
                </c:pt>
                <c:pt idx="8">
                  <c:v>17.943403406248844</c:v>
                </c:pt>
                <c:pt idx="9">
                  <c:v>39.485675510394529</c:v>
                </c:pt>
                <c:pt idx="10">
                  <c:v>39.485675510394529</c:v>
                </c:pt>
                <c:pt idx="11">
                  <c:v>39.485675510394529</c:v>
                </c:pt>
                <c:pt idx="12">
                  <c:v>40.988113638086659</c:v>
                </c:pt>
                <c:pt idx="13">
                  <c:v>40.988113638086659</c:v>
                </c:pt>
                <c:pt idx="14">
                  <c:v>40.988113638086659</c:v>
                </c:pt>
                <c:pt idx="15">
                  <c:v>43.215335054211842</c:v>
                </c:pt>
                <c:pt idx="16">
                  <c:v>43.215335054211842</c:v>
                </c:pt>
                <c:pt idx="17">
                  <c:v>43.215335054211842</c:v>
                </c:pt>
                <c:pt idx="18">
                  <c:v>44.665364740744536</c:v>
                </c:pt>
                <c:pt idx="19">
                  <c:v>44.665364740744536</c:v>
                </c:pt>
                <c:pt idx="20">
                  <c:v>44.665364740744536</c:v>
                </c:pt>
                <c:pt idx="21">
                  <c:v>46.549688331419766</c:v>
                </c:pt>
                <c:pt idx="22">
                  <c:v>46.549688331419766</c:v>
                </c:pt>
                <c:pt idx="23">
                  <c:v>46.549688331419766</c:v>
                </c:pt>
                <c:pt idx="24">
                  <c:v>112.11059397271197</c:v>
                </c:pt>
                <c:pt idx="25">
                  <c:v>112.11059397271197</c:v>
                </c:pt>
                <c:pt idx="26">
                  <c:v>112.11059397271197</c:v>
                </c:pt>
                <c:pt idx="27">
                  <c:v>114.5951147102783</c:v>
                </c:pt>
                <c:pt idx="28">
                  <c:v>114.5951147102783</c:v>
                </c:pt>
                <c:pt idx="29">
                  <c:v>114.5951147102783</c:v>
                </c:pt>
                <c:pt idx="30">
                  <c:v>118.07850879064127</c:v>
                </c:pt>
                <c:pt idx="31">
                  <c:v>118.07850879064127</c:v>
                </c:pt>
                <c:pt idx="32">
                  <c:v>118.07850879064127</c:v>
                </c:pt>
                <c:pt idx="33">
                  <c:v>120.64088552018306</c:v>
                </c:pt>
                <c:pt idx="34">
                  <c:v>120.64088552018306</c:v>
                </c:pt>
                <c:pt idx="35">
                  <c:v>120.64088552018306</c:v>
                </c:pt>
                <c:pt idx="36">
                  <c:v>170.84676616081998</c:v>
                </c:pt>
                <c:pt idx="37">
                  <c:v>170.84676616081998</c:v>
                </c:pt>
                <c:pt idx="38">
                  <c:v>170.84676616081998</c:v>
                </c:pt>
                <c:pt idx="39">
                  <c:v>174.05562754046974</c:v>
                </c:pt>
                <c:pt idx="40">
                  <c:v>174.05562754046974</c:v>
                </c:pt>
                <c:pt idx="41">
                  <c:v>174.05562754046974</c:v>
                </c:pt>
                <c:pt idx="42">
                  <c:v>178.54473745716049</c:v>
                </c:pt>
                <c:pt idx="43">
                  <c:v>178.54473745716049</c:v>
                </c:pt>
                <c:pt idx="44">
                  <c:v>178.54473745716049</c:v>
                </c:pt>
                <c:pt idx="45">
                  <c:v>181.83941181901429</c:v>
                </c:pt>
                <c:pt idx="46">
                  <c:v>181.83941181901429</c:v>
                </c:pt>
                <c:pt idx="47">
                  <c:v>181.83941181901429</c:v>
                </c:pt>
                <c:pt idx="48">
                  <c:v>183.73887512496501</c:v>
                </c:pt>
                <c:pt idx="49">
                  <c:v>183.73887512496501</c:v>
                </c:pt>
                <c:pt idx="50">
                  <c:v>183.73887512496501</c:v>
                </c:pt>
                <c:pt idx="51">
                  <c:v>187.08146834809034</c:v>
                </c:pt>
                <c:pt idx="52">
                  <c:v>187.08146834809034</c:v>
                </c:pt>
                <c:pt idx="53">
                  <c:v>187.08146834809034</c:v>
                </c:pt>
                <c:pt idx="54">
                  <c:v>194.53930487804482</c:v>
                </c:pt>
                <c:pt idx="55">
                  <c:v>194.53930487804482</c:v>
                </c:pt>
                <c:pt idx="56">
                  <c:v>194.53930487804482</c:v>
                </c:pt>
                <c:pt idx="57">
                  <c:v>227.44620723451311</c:v>
                </c:pt>
                <c:pt idx="58">
                  <c:v>227.44620723451311</c:v>
                </c:pt>
                <c:pt idx="59">
                  <c:v>227.44620723451311</c:v>
                </c:pt>
                <c:pt idx="60">
                  <c:v>231.32413150301491</c:v>
                </c:pt>
                <c:pt idx="61">
                  <c:v>231.32413150301491</c:v>
                </c:pt>
                <c:pt idx="62">
                  <c:v>231.32413150301491</c:v>
                </c:pt>
                <c:pt idx="63">
                  <c:v>236.827607150864</c:v>
                </c:pt>
                <c:pt idx="64">
                  <c:v>236.827607150864</c:v>
                </c:pt>
                <c:pt idx="65">
                  <c:v>236.827607150864</c:v>
                </c:pt>
                <c:pt idx="66">
                  <c:v>240.73272527637991</c:v>
                </c:pt>
                <c:pt idx="67">
                  <c:v>240.73272527637991</c:v>
                </c:pt>
                <c:pt idx="68">
                  <c:v>240.73272527637991</c:v>
                </c:pt>
                <c:pt idx="69">
                  <c:v>272.62589802477845</c:v>
                </c:pt>
                <c:pt idx="70">
                  <c:v>272.62589802477845</c:v>
                </c:pt>
                <c:pt idx="71">
                  <c:v>272.62589802477845</c:v>
                </c:pt>
                <c:pt idx="72">
                  <c:v>276.66509260115197</c:v>
                </c:pt>
                <c:pt idx="73">
                  <c:v>276.66509260115197</c:v>
                </c:pt>
                <c:pt idx="74">
                  <c:v>276.66509260115197</c:v>
                </c:pt>
                <c:pt idx="75">
                  <c:v>282.83175501432817</c:v>
                </c:pt>
                <c:pt idx="76">
                  <c:v>282.83175501432817</c:v>
                </c:pt>
                <c:pt idx="77">
                  <c:v>282.83175501432817</c:v>
                </c:pt>
                <c:pt idx="78">
                  <c:v>287.11748904164142</c:v>
                </c:pt>
                <c:pt idx="79">
                  <c:v>287.11748904164142</c:v>
                </c:pt>
                <c:pt idx="80">
                  <c:v>287.11748904164142</c:v>
                </c:pt>
                <c:pt idx="81">
                  <c:v>289.01356588901376</c:v>
                </c:pt>
                <c:pt idx="82">
                  <c:v>289.01356588901376</c:v>
                </c:pt>
                <c:pt idx="83">
                  <c:v>289.01356588901376</c:v>
                </c:pt>
                <c:pt idx="84">
                  <c:v>293.67539714584416</c:v>
                </c:pt>
                <c:pt idx="85">
                  <c:v>293.67539714584416</c:v>
                </c:pt>
                <c:pt idx="86">
                  <c:v>293.67539714584416</c:v>
                </c:pt>
                <c:pt idx="87">
                  <c:v>300.34360198138137</c:v>
                </c:pt>
                <c:pt idx="88">
                  <c:v>300.34360198138137</c:v>
                </c:pt>
                <c:pt idx="89">
                  <c:v>300.34360198138137</c:v>
                </c:pt>
                <c:pt idx="90">
                  <c:v>305.33805018479768</c:v>
                </c:pt>
                <c:pt idx="91">
                  <c:v>305.33805018479768</c:v>
                </c:pt>
                <c:pt idx="92">
                  <c:v>305.33805018479768</c:v>
                </c:pt>
                <c:pt idx="93">
                  <c:v>314.99896519903882</c:v>
                </c:pt>
                <c:pt idx="94">
                  <c:v>314.99896519903882</c:v>
                </c:pt>
                <c:pt idx="95">
                  <c:v>314.99896519903882</c:v>
                </c:pt>
                <c:pt idx="96">
                  <c:v>320.08237995918807</c:v>
                </c:pt>
                <c:pt idx="97">
                  <c:v>320.08237995918807</c:v>
                </c:pt>
                <c:pt idx="98">
                  <c:v>320.08237995918807</c:v>
                </c:pt>
                <c:pt idx="99">
                  <c:v>327.31360170491905</c:v>
                </c:pt>
                <c:pt idx="100">
                  <c:v>327.31360170491905</c:v>
                </c:pt>
                <c:pt idx="101">
                  <c:v>327.31360170491905</c:v>
                </c:pt>
                <c:pt idx="102">
                  <c:v>332.45650577871135</c:v>
                </c:pt>
                <c:pt idx="103">
                  <c:v>332.45650577871135</c:v>
                </c:pt>
                <c:pt idx="104">
                  <c:v>332.45650577871135</c:v>
                </c:pt>
                <c:pt idx="105">
                  <c:v>334.35183301794285</c:v>
                </c:pt>
                <c:pt idx="106">
                  <c:v>334.35183301794285</c:v>
                </c:pt>
                <c:pt idx="107">
                  <c:v>334.35183301794285</c:v>
                </c:pt>
                <c:pt idx="108">
                  <c:v>339.84280899565243</c:v>
                </c:pt>
                <c:pt idx="109">
                  <c:v>339.84280899565243</c:v>
                </c:pt>
                <c:pt idx="110">
                  <c:v>339.84280899565243</c:v>
                </c:pt>
                <c:pt idx="111">
                  <c:v>347.48930897885367</c:v>
                </c:pt>
                <c:pt idx="112">
                  <c:v>347.48930897885367</c:v>
                </c:pt>
                <c:pt idx="113">
                  <c:v>347.48930897885367</c:v>
                </c:pt>
                <c:pt idx="114">
                  <c:v>353.27288705892704</c:v>
                </c:pt>
                <c:pt idx="115">
                  <c:v>353.27288705892704</c:v>
                </c:pt>
                <c:pt idx="116">
                  <c:v>353.27288705892704</c:v>
                </c:pt>
                <c:pt idx="117">
                  <c:v>391.13269157905142</c:v>
                </c:pt>
                <c:pt idx="118">
                  <c:v>391.13269157905142</c:v>
                </c:pt>
                <c:pt idx="119">
                  <c:v>391.13269157905142</c:v>
                </c:pt>
                <c:pt idx="120">
                  <c:v>397.81036324517828</c:v>
                </c:pt>
                <c:pt idx="121">
                  <c:v>397.81036324517828</c:v>
                </c:pt>
                <c:pt idx="122">
                  <c:v>397.81036324517828</c:v>
                </c:pt>
                <c:pt idx="123">
                  <c:v>407.10944264944067</c:v>
                </c:pt>
                <c:pt idx="124">
                  <c:v>407.10944264944067</c:v>
                </c:pt>
                <c:pt idx="125">
                  <c:v>407.10944264944067</c:v>
                </c:pt>
                <c:pt idx="126">
                  <c:v>414.14316011469992</c:v>
                </c:pt>
                <c:pt idx="127">
                  <c:v>414.14316011469992</c:v>
                </c:pt>
                <c:pt idx="128">
                  <c:v>414.14316011469992</c:v>
                </c:pt>
                <c:pt idx="129">
                  <c:v>416.04159869292658</c:v>
                </c:pt>
                <c:pt idx="130">
                  <c:v>416.04159869292658</c:v>
                </c:pt>
                <c:pt idx="131">
                  <c:v>416.04159869292658</c:v>
                </c:pt>
                <c:pt idx="132">
                  <c:v>416.04159869292658</c:v>
                </c:pt>
                <c:pt idx="133">
                  <c:v>416.04159869292658</c:v>
                </c:pt>
                <c:pt idx="134">
                  <c:v>416.04159869292658</c:v>
                </c:pt>
                <c:pt idx="135">
                  <c:v>434.02680627612671</c:v>
                </c:pt>
                <c:pt idx="136">
                  <c:v>434.02680627612671</c:v>
                </c:pt>
                <c:pt idx="137">
                  <c:v>434.02680627612671</c:v>
                </c:pt>
                <c:pt idx="138">
                  <c:v>462.02774841541464</c:v>
                </c:pt>
                <c:pt idx="139">
                  <c:v>462.02774841541464</c:v>
                </c:pt>
                <c:pt idx="140">
                  <c:v>462.02774841541464</c:v>
                </c:pt>
                <c:pt idx="141">
                  <c:v>462.7475944282906</c:v>
                </c:pt>
              </c:numCache>
            </c:numRef>
          </c:xVal>
          <c:yVal>
            <c:numRef>
              <c:f>Path!$Z$24:$Z$168</c:f>
              <c:numCache>
                <c:formatCode>0</c:formatCode>
                <c:ptCount val="145"/>
                <c:pt idx="0">
                  <c:v>-127.01036480227398</c:v>
                </c:pt>
                <c:pt idx="1">
                  <c:v>-127.01036480227398</c:v>
                </c:pt>
                <c:pt idx="2">
                  <c:v>-127.01036480227398</c:v>
                </c:pt>
                <c:pt idx="3">
                  <c:v>-127.08207311951959</c:v>
                </c:pt>
                <c:pt idx="4">
                  <c:v>-127.08207311951959</c:v>
                </c:pt>
                <c:pt idx="5">
                  <c:v>-127.08207311951959</c:v>
                </c:pt>
                <c:pt idx="6">
                  <c:v>-151.39206161900674</c:v>
                </c:pt>
                <c:pt idx="7">
                  <c:v>-151.39206161900674</c:v>
                </c:pt>
                <c:pt idx="8">
                  <c:v>-151.39206161900674</c:v>
                </c:pt>
                <c:pt idx="9">
                  <c:v>-180.66598749169717</c:v>
                </c:pt>
                <c:pt idx="10">
                  <c:v>-180.66598749169717</c:v>
                </c:pt>
                <c:pt idx="11">
                  <c:v>-180.66598749169717</c:v>
                </c:pt>
                <c:pt idx="12">
                  <c:v>-182.70765989123478</c:v>
                </c:pt>
                <c:pt idx="13">
                  <c:v>-182.70765989123478</c:v>
                </c:pt>
                <c:pt idx="14">
                  <c:v>-182.70765989123478</c:v>
                </c:pt>
                <c:pt idx="15">
                  <c:v>-185.7342447529667</c:v>
                </c:pt>
                <c:pt idx="16">
                  <c:v>-185.7342447529667</c:v>
                </c:pt>
                <c:pt idx="17">
                  <c:v>-185.7342447529667</c:v>
                </c:pt>
                <c:pt idx="18">
                  <c:v>-187.70469899992563</c:v>
                </c:pt>
                <c:pt idx="19">
                  <c:v>-187.70469899992563</c:v>
                </c:pt>
                <c:pt idx="20">
                  <c:v>-187.70469899992563</c:v>
                </c:pt>
                <c:pt idx="21">
                  <c:v>-190.26531790061128</c:v>
                </c:pt>
                <c:pt idx="22">
                  <c:v>-190.26531790061128</c:v>
                </c:pt>
                <c:pt idx="23">
                  <c:v>-190.26531790061128</c:v>
                </c:pt>
                <c:pt idx="24">
                  <c:v>-279.3564352447421</c:v>
                </c:pt>
                <c:pt idx="25">
                  <c:v>-279.3564352447421</c:v>
                </c:pt>
                <c:pt idx="26">
                  <c:v>-279.3564352447421</c:v>
                </c:pt>
                <c:pt idx="27">
                  <c:v>-282.73266573468572</c:v>
                </c:pt>
                <c:pt idx="28">
                  <c:v>-282.73266573468572</c:v>
                </c:pt>
                <c:pt idx="29">
                  <c:v>-282.73266573468572</c:v>
                </c:pt>
                <c:pt idx="30">
                  <c:v>-287.46627134513062</c:v>
                </c:pt>
                <c:pt idx="31">
                  <c:v>-287.46627134513062</c:v>
                </c:pt>
                <c:pt idx="32">
                  <c:v>-287.46627134513062</c:v>
                </c:pt>
                <c:pt idx="33">
                  <c:v>-290.94830082075305</c:v>
                </c:pt>
                <c:pt idx="34">
                  <c:v>-290.94830082075305</c:v>
                </c:pt>
                <c:pt idx="35">
                  <c:v>-290.94830082075305</c:v>
                </c:pt>
                <c:pt idx="36">
                  <c:v>-359.17338038254672</c:v>
                </c:pt>
                <c:pt idx="37">
                  <c:v>-359.17338038254672</c:v>
                </c:pt>
                <c:pt idx="38">
                  <c:v>-359.17338038254672</c:v>
                </c:pt>
                <c:pt idx="39">
                  <c:v>-363.53392181984157</c:v>
                </c:pt>
                <c:pt idx="40">
                  <c:v>-363.53392181984157</c:v>
                </c:pt>
                <c:pt idx="41">
                  <c:v>-363.53392181984157</c:v>
                </c:pt>
                <c:pt idx="42">
                  <c:v>-369.63420085727302</c:v>
                </c:pt>
                <c:pt idx="43">
                  <c:v>-369.63420085727302</c:v>
                </c:pt>
                <c:pt idx="44">
                  <c:v>-369.63420085727302</c:v>
                </c:pt>
                <c:pt idx="45">
                  <c:v>-374.11135408313913</c:v>
                </c:pt>
                <c:pt idx="46">
                  <c:v>-374.11135408313913</c:v>
                </c:pt>
                <c:pt idx="47">
                  <c:v>-374.11135408313913</c:v>
                </c:pt>
                <c:pt idx="48">
                  <c:v>-376.6925464358992</c:v>
                </c:pt>
                <c:pt idx="49">
                  <c:v>-376.6925464358992</c:v>
                </c:pt>
                <c:pt idx="50">
                  <c:v>-376.6925464358992</c:v>
                </c:pt>
                <c:pt idx="51">
                  <c:v>-381.23481689665977</c:v>
                </c:pt>
                <c:pt idx="52">
                  <c:v>-381.23481689665977</c:v>
                </c:pt>
                <c:pt idx="53">
                  <c:v>-381.23481689665977</c:v>
                </c:pt>
                <c:pt idx="54">
                  <c:v>-391.36931676246161</c:v>
                </c:pt>
                <c:pt idx="55">
                  <c:v>-391.36931676246161</c:v>
                </c:pt>
                <c:pt idx="56">
                  <c:v>-391.36931676246161</c:v>
                </c:pt>
                <c:pt idx="57">
                  <c:v>-436.08670848539555</c:v>
                </c:pt>
                <c:pt idx="58">
                  <c:v>-436.08670848539555</c:v>
                </c:pt>
                <c:pt idx="59">
                  <c:v>-436.08670848539555</c:v>
                </c:pt>
                <c:pt idx="60">
                  <c:v>-441.3564435916652</c:v>
                </c:pt>
                <c:pt idx="61">
                  <c:v>-441.3564435916652</c:v>
                </c:pt>
                <c:pt idx="62">
                  <c:v>-441.3564435916652</c:v>
                </c:pt>
                <c:pt idx="63">
                  <c:v>-448.83515045129514</c:v>
                </c:pt>
                <c:pt idx="64">
                  <c:v>-448.83515045129514</c:v>
                </c:pt>
                <c:pt idx="65">
                  <c:v>-448.83515045129514</c:v>
                </c:pt>
                <c:pt idx="66">
                  <c:v>-454.14183945688308</c:v>
                </c:pt>
                <c:pt idx="67">
                  <c:v>-454.14183945688308</c:v>
                </c:pt>
                <c:pt idx="68">
                  <c:v>-454.14183945688308</c:v>
                </c:pt>
                <c:pt idx="69">
                  <c:v>-497.48166778919051</c:v>
                </c:pt>
                <c:pt idx="70">
                  <c:v>-497.48166778919051</c:v>
                </c:pt>
                <c:pt idx="71">
                  <c:v>-497.48166778919051</c:v>
                </c:pt>
                <c:pt idx="72">
                  <c:v>-502.9705541073323</c:v>
                </c:pt>
                <c:pt idx="73">
                  <c:v>-502.9705541073323</c:v>
                </c:pt>
                <c:pt idx="74">
                  <c:v>-502.9705541073323</c:v>
                </c:pt>
                <c:pt idx="75">
                  <c:v>-511.35046953558856</c:v>
                </c:pt>
                <c:pt idx="76">
                  <c:v>-511.35046953558856</c:v>
                </c:pt>
                <c:pt idx="77">
                  <c:v>-511.35046953558856</c:v>
                </c:pt>
                <c:pt idx="78">
                  <c:v>-517.17437982783167</c:v>
                </c:pt>
                <c:pt idx="79">
                  <c:v>-517.17437982783167</c:v>
                </c:pt>
                <c:pt idx="80">
                  <c:v>-517.17437982783167</c:v>
                </c:pt>
                <c:pt idx="81">
                  <c:v>-519.75097030123027</c:v>
                </c:pt>
                <c:pt idx="82">
                  <c:v>-519.75097030123027</c:v>
                </c:pt>
                <c:pt idx="83">
                  <c:v>-519.75097030123027</c:v>
                </c:pt>
                <c:pt idx="84">
                  <c:v>-526.08596142861381</c:v>
                </c:pt>
                <c:pt idx="85">
                  <c:v>-526.08596142861381</c:v>
                </c:pt>
                <c:pt idx="86">
                  <c:v>-526.08596142861381</c:v>
                </c:pt>
                <c:pt idx="87">
                  <c:v>-535.14742593503729</c:v>
                </c:pt>
                <c:pt idx="88">
                  <c:v>-530.34332140948072</c:v>
                </c:pt>
                <c:pt idx="89">
                  <c:v>-530.34332140948072</c:v>
                </c:pt>
                <c:pt idx="90">
                  <c:v>-541.93441227403468</c:v>
                </c:pt>
                <c:pt idx="91">
                  <c:v>-541.93441227403468</c:v>
                </c:pt>
                <c:pt idx="92">
                  <c:v>-541.93441227403468</c:v>
                </c:pt>
                <c:pt idx="93">
                  <c:v>-564.35541639781468</c:v>
                </c:pt>
                <c:pt idx="94">
                  <c:v>-564.35541639781468</c:v>
                </c:pt>
                <c:pt idx="95">
                  <c:v>-564.35541639781468</c:v>
                </c:pt>
                <c:pt idx="96">
                  <c:v>-576.15298041035169</c:v>
                </c:pt>
                <c:pt idx="97">
                  <c:v>-576.15298041035169</c:v>
                </c:pt>
                <c:pt idx="98">
                  <c:v>-576.15298041035169</c:v>
                </c:pt>
                <c:pt idx="99">
                  <c:v>-592.93516432792103</c:v>
                </c:pt>
                <c:pt idx="100">
                  <c:v>-592.93516432792103</c:v>
                </c:pt>
                <c:pt idx="101">
                  <c:v>-592.93516432792103</c:v>
                </c:pt>
                <c:pt idx="102">
                  <c:v>-604.87079084743027</c:v>
                </c:pt>
                <c:pt idx="103">
                  <c:v>-604.87079084743027</c:v>
                </c:pt>
                <c:pt idx="104">
                  <c:v>-604.87079084743027</c:v>
                </c:pt>
                <c:pt idx="105">
                  <c:v>-609.26945699697001</c:v>
                </c:pt>
                <c:pt idx="106">
                  <c:v>-609.26945699697001</c:v>
                </c:pt>
                <c:pt idx="107">
                  <c:v>-609.26945699697001</c:v>
                </c:pt>
                <c:pt idx="108">
                  <c:v>-622.01288708183483</c:v>
                </c:pt>
                <c:pt idx="109">
                  <c:v>-622.01288708183483</c:v>
                </c:pt>
                <c:pt idx="110">
                  <c:v>-622.01288708183483</c:v>
                </c:pt>
                <c:pt idx="111">
                  <c:v>-639.75884669364336</c:v>
                </c:pt>
                <c:pt idx="112">
                  <c:v>-639.75884669364336</c:v>
                </c:pt>
                <c:pt idx="113">
                  <c:v>-639.75884669364336</c:v>
                </c:pt>
                <c:pt idx="114">
                  <c:v>-653.18134630081067</c:v>
                </c:pt>
                <c:pt idx="115">
                  <c:v>-653.18134630081067</c:v>
                </c:pt>
                <c:pt idx="116">
                  <c:v>-653.18134630081067</c:v>
                </c:pt>
                <c:pt idx="117">
                  <c:v>-741.04619471526394</c:v>
                </c:pt>
                <c:pt idx="118">
                  <c:v>-741.04619471526394</c:v>
                </c:pt>
                <c:pt idx="119">
                  <c:v>-741.04619471526394</c:v>
                </c:pt>
                <c:pt idx="120">
                  <c:v>-756.5437023263728</c:v>
                </c:pt>
                <c:pt idx="121">
                  <c:v>-756.5437023263728</c:v>
                </c:pt>
                <c:pt idx="122">
                  <c:v>-756.5437023263728</c:v>
                </c:pt>
                <c:pt idx="123">
                  <c:v>-778.12496014335829</c:v>
                </c:pt>
                <c:pt idx="124">
                  <c:v>-778.12496014335829</c:v>
                </c:pt>
                <c:pt idx="125">
                  <c:v>-778.12496014335829</c:v>
                </c:pt>
                <c:pt idx="126">
                  <c:v>-794.44877709668117</c:v>
                </c:pt>
                <c:pt idx="127">
                  <c:v>-794.44877709668117</c:v>
                </c:pt>
                <c:pt idx="128">
                  <c:v>-794.44877709668117</c:v>
                </c:pt>
                <c:pt idx="129">
                  <c:v>-798.85466402648217</c:v>
                </c:pt>
                <c:pt idx="130">
                  <c:v>-798.85466402648217</c:v>
                </c:pt>
                <c:pt idx="131">
                  <c:v>-798.85466402648217</c:v>
                </c:pt>
                <c:pt idx="132">
                  <c:v>-798.85466402648217</c:v>
                </c:pt>
                <c:pt idx="133">
                  <c:v>-798.85466402648217</c:v>
                </c:pt>
                <c:pt idx="134">
                  <c:v>-798.85466402648217</c:v>
                </c:pt>
                <c:pt idx="135">
                  <c:v>-840.59464546670233</c:v>
                </c:pt>
                <c:pt idx="136">
                  <c:v>-840.59464546670233</c:v>
                </c:pt>
                <c:pt idx="137">
                  <c:v>-840.59464546670233</c:v>
                </c:pt>
                <c:pt idx="138">
                  <c:v>-905.57909448102919</c:v>
                </c:pt>
                <c:pt idx="139">
                  <c:v>-905.57909448102919</c:v>
                </c:pt>
                <c:pt idx="140">
                  <c:v>-905.57909448102919</c:v>
                </c:pt>
                <c:pt idx="141">
                  <c:v>-907.24970957280743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0D6-44A7-9453-0F20D8646F79}"/>
            </c:ext>
          </c:extLst>
        </c:ser>
        <c:ser>
          <c:idx val="4"/>
          <c:order val="4"/>
          <c:tx>
            <c:v>Error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Path!$O$21:$O$168</c:f>
              <c:numCache>
                <c:formatCode>0.0</c:formatCode>
                <c:ptCount val="1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1.2541546914346694E-3</c:v>
                </c:pt>
                <c:pt idx="4">
                  <c:v>1.2541546914346694E-3</c:v>
                </c:pt>
                <c:pt idx="5">
                  <c:v>1.2541546914346694E-3</c:v>
                </c:pt>
                <c:pt idx="6">
                  <c:v>5.4023301165111309E-2</c:v>
                </c:pt>
                <c:pt idx="7">
                  <c:v>5.4023301165111309E-2</c:v>
                </c:pt>
                <c:pt idx="8">
                  <c:v>5.4023301165111309E-2</c:v>
                </c:pt>
                <c:pt idx="9">
                  <c:v>17.943403406248844</c:v>
                </c:pt>
                <c:pt idx="10">
                  <c:v>17.943403406248844</c:v>
                </c:pt>
                <c:pt idx="11">
                  <c:v>17.943403406248844</c:v>
                </c:pt>
                <c:pt idx="12">
                  <c:v>39.485675510394529</c:v>
                </c:pt>
                <c:pt idx="13">
                  <c:v>39.485675510394529</c:v>
                </c:pt>
                <c:pt idx="14">
                  <c:v>39.485675510394529</c:v>
                </c:pt>
                <c:pt idx="15">
                  <c:v>40.988113638086659</c:v>
                </c:pt>
                <c:pt idx="16">
                  <c:v>40.988113638086659</c:v>
                </c:pt>
                <c:pt idx="17">
                  <c:v>40.988113638086659</c:v>
                </c:pt>
                <c:pt idx="18">
                  <c:v>43.215335054211842</c:v>
                </c:pt>
                <c:pt idx="19">
                  <c:v>43.215335054211842</c:v>
                </c:pt>
                <c:pt idx="20">
                  <c:v>43.215335054211842</c:v>
                </c:pt>
                <c:pt idx="21">
                  <c:v>44.665364740744536</c:v>
                </c:pt>
                <c:pt idx="22">
                  <c:v>44.665364740744536</c:v>
                </c:pt>
                <c:pt idx="23">
                  <c:v>44.665364740744536</c:v>
                </c:pt>
                <c:pt idx="24">
                  <c:v>46.549688331419766</c:v>
                </c:pt>
                <c:pt idx="25">
                  <c:v>46.549688331419766</c:v>
                </c:pt>
                <c:pt idx="26">
                  <c:v>46.549688331419766</c:v>
                </c:pt>
                <c:pt idx="27">
                  <c:v>112.11059397271197</c:v>
                </c:pt>
                <c:pt idx="28">
                  <c:v>112.11059397271197</c:v>
                </c:pt>
                <c:pt idx="29">
                  <c:v>112.11059397271197</c:v>
                </c:pt>
                <c:pt idx="30">
                  <c:v>114.5951147102783</c:v>
                </c:pt>
                <c:pt idx="31">
                  <c:v>114.5951147102783</c:v>
                </c:pt>
                <c:pt idx="32">
                  <c:v>114.5951147102783</c:v>
                </c:pt>
                <c:pt idx="33">
                  <c:v>118.07850879064127</c:v>
                </c:pt>
                <c:pt idx="34">
                  <c:v>118.07850879064127</c:v>
                </c:pt>
                <c:pt idx="35">
                  <c:v>118.07850879064127</c:v>
                </c:pt>
                <c:pt idx="36">
                  <c:v>120.64088552018306</c:v>
                </c:pt>
                <c:pt idx="37">
                  <c:v>120.64088552018306</c:v>
                </c:pt>
                <c:pt idx="38">
                  <c:v>120.64088552018306</c:v>
                </c:pt>
                <c:pt idx="39">
                  <c:v>170.84676616081998</c:v>
                </c:pt>
                <c:pt idx="40">
                  <c:v>170.84676616081998</c:v>
                </c:pt>
                <c:pt idx="41">
                  <c:v>170.84676616081998</c:v>
                </c:pt>
                <c:pt idx="42">
                  <c:v>174.05562754046974</c:v>
                </c:pt>
                <c:pt idx="43">
                  <c:v>174.05562754046974</c:v>
                </c:pt>
                <c:pt idx="44">
                  <c:v>174.05562754046974</c:v>
                </c:pt>
                <c:pt idx="45">
                  <c:v>178.54473745716049</c:v>
                </c:pt>
                <c:pt idx="46">
                  <c:v>178.54473745716049</c:v>
                </c:pt>
                <c:pt idx="47">
                  <c:v>178.54473745716049</c:v>
                </c:pt>
                <c:pt idx="48">
                  <c:v>181.83941181901429</c:v>
                </c:pt>
                <c:pt idx="49">
                  <c:v>181.83941181901429</c:v>
                </c:pt>
                <c:pt idx="50">
                  <c:v>181.83941181901429</c:v>
                </c:pt>
                <c:pt idx="51">
                  <c:v>183.73887512496501</c:v>
                </c:pt>
                <c:pt idx="52">
                  <c:v>183.73887512496501</c:v>
                </c:pt>
                <c:pt idx="53">
                  <c:v>183.73887512496501</c:v>
                </c:pt>
                <c:pt idx="54">
                  <c:v>187.08146834809034</c:v>
                </c:pt>
                <c:pt idx="55">
                  <c:v>187.08146834809034</c:v>
                </c:pt>
                <c:pt idx="56">
                  <c:v>187.08146834809034</c:v>
                </c:pt>
                <c:pt idx="57">
                  <c:v>194.53930487804482</c:v>
                </c:pt>
                <c:pt idx="58">
                  <c:v>194.53930487804482</c:v>
                </c:pt>
                <c:pt idx="59">
                  <c:v>194.53930487804482</c:v>
                </c:pt>
                <c:pt idx="60">
                  <c:v>227.44620723451311</c:v>
                </c:pt>
                <c:pt idx="61">
                  <c:v>227.44620723451311</c:v>
                </c:pt>
                <c:pt idx="62">
                  <c:v>227.44620723451311</c:v>
                </c:pt>
                <c:pt idx="63">
                  <c:v>231.32413150301491</c:v>
                </c:pt>
                <c:pt idx="64">
                  <c:v>231.32413150301491</c:v>
                </c:pt>
                <c:pt idx="65">
                  <c:v>231.32413150301491</c:v>
                </c:pt>
                <c:pt idx="66">
                  <c:v>236.827607150864</c:v>
                </c:pt>
                <c:pt idx="67">
                  <c:v>236.827607150864</c:v>
                </c:pt>
                <c:pt idx="68">
                  <c:v>236.827607150864</c:v>
                </c:pt>
                <c:pt idx="69">
                  <c:v>240.73272527637991</c:v>
                </c:pt>
                <c:pt idx="70">
                  <c:v>240.73272527637991</c:v>
                </c:pt>
                <c:pt idx="71">
                  <c:v>240.73272527637991</c:v>
                </c:pt>
                <c:pt idx="72">
                  <c:v>272.62589802477845</c:v>
                </c:pt>
                <c:pt idx="73">
                  <c:v>272.62589802477845</c:v>
                </c:pt>
                <c:pt idx="74">
                  <c:v>272.62589802477845</c:v>
                </c:pt>
                <c:pt idx="75">
                  <c:v>276.66509260115197</c:v>
                </c:pt>
                <c:pt idx="76">
                  <c:v>276.66509260115197</c:v>
                </c:pt>
                <c:pt idx="77">
                  <c:v>276.66509260115197</c:v>
                </c:pt>
                <c:pt idx="78">
                  <c:v>282.83175501432817</c:v>
                </c:pt>
                <c:pt idx="79">
                  <c:v>282.83175501432817</c:v>
                </c:pt>
                <c:pt idx="80">
                  <c:v>282.83175501432817</c:v>
                </c:pt>
                <c:pt idx="81">
                  <c:v>287.11748904164142</c:v>
                </c:pt>
                <c:pt idx="82">
                  <c:v>287.11748904164142</c:v>
                </c:pt>
                <c:pt idx="83">
                  <c:v>287.11748904164142</c:v>
                </c:pt>
                <c:pt idx="84">
                  <c:v>289.01356588901376</c:v>
                </c:pt>
                <c:pt idx="85">
                  <c:v>289.01356588901376</c:v>
                </c:pt>
                <c:pt idx="86">
                  <c:v>289.01356588901376</c:v>
                </c:pt>
                <c:pt idx="87">
                  <c:v>293.67539714584416</c:v>
                </c:pt>
                <c:pt idx="88">
                  <c:v>293.67539714584416</c:v>
                </c:pt>
                <c:pt idx="89">
                  <c:v>293.67539714584416</c:v>
                </c:pt>
                <c:pt idx="90">
                  <c:v>300.34360198138137</c:v>
                </c:pt>
                <c:pt idx="91">
                  <c:v>300.34360198138137</c:v>
                </c:pt>
                <c:pt idx="92">
                  <c:v>300.34360198138137</c:v>
                </c:pt>
                <c:pt idx="93">
                  <c:v>305.33805018479768</c:v>
                </c:pt>
                <c:pt idx="94">
                  <c:v>305.33805018479768</c:v>
                </c:pt>
                <c:pt idx="95">
                  <c:v>305.33805018479768</c:v>
                </c:pt>
                <c:pt idx="96">
                  <c:v>314.99896519903882</c:v>
                </c:pt>
                <c:pt idx="97">
                  <c:v>314.99896519903882</c:v>
                </c:pt>
                <c:pt idx="98">
                  <c:v>314.99896519903882</c:v>
                </c:pt>
                <c:pt idx="99">
                  <c:v>320.08237995918807</c:v>
                </c:pt>
                <c:pt idx="100">
                  <c:v>320.08237995918807</c:v>
                </c:pt>
                <c:pt idx="101">
                  <c:v>320.08237995918807</c:v>
                </c:pt>
                <c:pt idx="102">
                  <c:v>327.31360170491905</c:v>
                </c:pt>
                <c:pt idx="103">
                  <c:v>327.31360170491905</c:v>
                </c:pt>
                <c:pt idx="104">
                  <c:v>327.31360170491905</c:v>
                </c:pt>
                <c:pt idx="105">
                  <c:v>332.45650577871135</c:v>
                </c:pt>
                <c:pt idx="106">
                  <c:v>332.45650577871135</c:v>
                </c:pt>
                <c:pt idx="107">
                  <c:v>332.45650577871135</c:v>
                </c:pt>
                <c:pt idx="108">
                  <c:v>334.35183301794285</c:v>
                </c:pt>
                <c:pt idx="109">
                  <c:v>334.35183301794285</c:v>
                </c:pt>
                <c:pt idx="110">
                  <c:v>334.35183301794285</c:v>
                </c:pt>
                <c:pt idx="111">
                  <c:v>339.84280899565243</c:v>
                </c:pt>
                <c:pt idx="112">
                  <c:v>339.84280899565243</c:v>
                </c:pt>
                <c:pt idx="113">
                  <c:v>339.84280899565243</c:v>
                </c:pt>
                <c:pt idx="114">
                  <c:v>347.48930897885367</c:v>
                </c:pt>
                <c:pt idx="115">
                  <c:v>347.48930897885367</c:v>
                </c:pt>
                <c:pt idx="116">
                  <c:v>347.48930897885367</c:v>
                </c:pt>
                <c:pt idx="117">
                  <c:v>353.27288705892704</c:v>
                </c:pt>
                <c:pt idx="118">
                  <c:v>353.27288705892704</c:v>
                </c:pt>
                <c:pt idx="119">
                  <c:v>353.27288705892704</c:v>
                </c:pt>
                <c:pt idx="120">
                  <c:v>391.13269157905142</c:v>
                </c:pt>
                <c:pt idx="121">
                  <c:v>391.13269157905142</c:v>
                </c:pt>
                <c:pt idx="122">
                  <c:v>391.13269157905142</c:v>
                </c:pt>
                <c:pt idx="123">
                  <c:v>397.81036324517828</c:v>
                </c:pt>
                <c:pt idx="124">
                  <c:v>397.81036324517828</c:v>
                </c:pt>
                <c:pt idx="125">
                  <c:v>397.81036324517828</c:v>
                </c:pt>
                <c:pt idx="126">
                  <c:v>407.10944264944067</c:v>
                </c:pt>
                <c:pt idx="127">
                  <c:v>407.10944264944067</c:v>
                </c:pt>
                <c:pt idx="128">
                  <c:v>407.10944264944067</c:v>
                </c:pt>
                <c:pt idx="129">
                  <c:v>414.14316011469992</c:v>
                </c:pt>
                <c:pt idx="130">
                  <c:v>414.14316011469992</c:v>
                </c:pt>
                <c:pt idx="131">
                  <c:v>414.14316011469992</c:v>
                </c:pt>
                <c:pt idx="132">
                  <c:v>416.04159869292658</c:v>
                </c:pt>
                <c:pt idx="133">
                  <c:v>416.04159869292658</c:v>
                </c:pt>
                <c:pt idx="134">
                  <c:v>416.04159869292658</c:v>
                </c:pt>
                <c:pt idx="135">
                  <c:v>416.04159869292658</c:v>
                </c:pt>
                <c:pt idx="136">
                  <c:v>416.04159869292658</c:v>
                </c:pt>
                <c:pt idx="137">
                  <c:v>416.04159869292658</c:v>
                </c:pt>
                <c:pt idx="138">
                  <c:v>434.02680627612671</c:v>
                </c:pt>
                <c:pt idx="139">
                  <c:v>434.02680627612671</c:v>
                </c:pt>
                <c:pt idx="140">
                  <c:v>434.02680627612671</c:v>
                </c:pt>
                <c:pt idx="141">
                  <c:v>462.02774841541464</c:v>
                </c:pt>
                <c:pt idx="142">
                  <c:v>462.02774841541464</c:v>
                </c:pt>
                <c:pt idx="143">
                  <c:v>462.02774841541464</c:v>
                </c:pt>
                <c:pt idx="144">
                  <c:v>462.7475944282906</c:v>
                </c:pt>
              </c:numCache>
            </c:numRef>
          </c:xVal>
          <c:yVal>
            <c:numRef>
              <c:f>Path!$U$21:$U$168</c:f>
              <c:numCache>
                <c:formatCode>0.0</c:formatCode>
                <c:ptCount val="148"/>
                <c:pt idx="1">
                  <c:v>5.5190216106012713E-2</c:v>
                </c:pt>
                <c:pt idx="2">
                  <c:v>5.5190216106012713E-2</c:v>
                </c:pt>
                <c:pt idx="3">
                  <c:v>-1.9945861669043552E-2</c:v>
                </c:pt>
                <c:pt idx="4">
                  <c:v>-1.9945861669043552E-2</c:v>
                </c:pt>
                <c:pt idx="5">
                  <c:v>-1.9945861669043552E-2</c:v>
                </c:pt>
                <c:pt idx="6">
                  <c:v>-1.9887199460299598E-2</c:v>
                </c:pt>
                <c:pt idx="7">
                  <c:v>-1.9887199460299598E-2</c:v>
                </c:pt>
                <c:pt idx="8">
                  <c:v>-1.9887199460299598E-2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2.3948032835676258E-2</c:v>
                </c:pt>
                <c:pt idx="13">
                  <c:v>2.3948032835676258E-2</c:v>
                </c:pt>
                <c:pt idx="14">
                  <c:v>2.3948032835676258E-2</c:v>
                </c:pt>
                <c:pt idx="15">
                  <c:v>38.3934199976527</c:v>
                </c:pt>
                <c:pt idx="16">
                  <c:v>38.3934199976527</c:v>
                </c:pt>
                <c:pt idx="17">
                  <c:v>38.3934199976527</c:v>
                </c:pt>
                <c:pt idx="18">
                  <c:v>40.018856620141037</c:v>
                </c:pt>
                <c:pt idx="19">
                  <c:v>40.018856620141037</c:v>
                </c:pt>
                <c:pt idx="20">
                  <c:v>40.018856620141037</c:v>
                </c:pt>
                <c:pt idx="21">
                  <c:v>5.1209408262702141</c:v>
                </c:pt>
                <c:pt idx="22">
                  <c:v>5.1209408262702141</c:v>
                </c:pt>
                <c:pt idx="23">
                  <c:v>5.1209408262702141</c:v>
                </c:pt>
                <c:pt idx="24">
                  <c:v>-2.9697510109372161E-4</c:v>
                </c:pt>
                <c:pt idx="25">
                  <c:v>-2.9697510109372161E-4</c:v>
                </c:pt>
                <c:pt idx="26">
                  <c:v>-2.9697510109372161E-4</c:v>
                </c:pt>
                <c:pt idx="27">
                  <c:v>7.2585532360221805E-2</c:v>
                </c:pt>
                <c:pt idx="28">
                  <c:v>7.2585532360221805E-2</c:v>
                </c:pt>
                <c:pt idx="29">
                  <c:v>7.2585532360221805E-2</c:v>
                </c:pt>
                <c:pt idx="30">
                  <c:v>67.442709402152218</c:v>
                </c:pt>
                <c:pt idx="31">
                  <c:v>67.442709402152218</c:v>
                </c:pt>
                <c:pt idx="32">
                  <c:v>67.442709402152218</c:v>
                </c:pt>
                <c:pt idx="33">
                  <c:v>70.379534161554602</c:v>
                </c:pt>
                <c:pt idx="34">
                  <c:v>70.379534161554602</c:v>
                </c:pt>
                <c:pt idx="35">
                  <c:v>70.379534161554602</c:v>
                </c:pt>
                <c:pt idx="36">
                  <c:v>-1.0171183838565412E-3</c:v>
                </c:pt>
                <c:pt idx="37">
                  <c:v>-1.0171183838565412E-3</c:v>
                </c:pt>
                <c:pt idx="38">
                  <c:v>-1.0171183838565412E-3</c:v>
                </c:pt>
                <c:pt idx="39">
                  <c:v>6.2138820625591507E-2</c:v>
                </c:pt>
                <c:pt idx="40">
                  <c:v>6.2138820625591507E-2</c:v>
                </c:pt>
                <c:pt idx="41">
                  <c:v>6.2138820625591507E-2</c:v>
                </c:pt>
                <c:pt idx="42">
                  <c:v>85.9617391305311</c:v>
                </c:pt>
                <c:pt idx="43">
                  <c:v>85.9617391305311</c:v>
                </c:pt>
                <c:pt idx="44">
                  <c:v>85.9617391305311</c:v>
                </c:pt>
                <c:pt idx="45">
                  <c:v>90.489553372961609</c:v>
                </c:pt>
                <c:pt idx="46">
                  <c:v>90.489553372961609</c:v>
                </c:pt>
                <c:pt idx="47">
                  <c:v>90.489553372961609</c:v>
                </c:pt>
                <c:pt idx="48">
                  <c:v>-2.1115902540032039E-3</c:v>
                </c:pt>
                <c:pt idx="49">
                  <c:v>-2.1115902540032039E-3</c:v>
                </c:pt>
                <c:pt idx="50">
                  <c:v>-2.1115902540032039E-3</c:v>
                </c:pt>
                <c:pt idx="51">
                  <c:v>-1.8428636394673958E-9</c:v>
                </c:pt>
                <c:pt idx="52">
                  <c:v>-1.8428636394673958E-9</c:v>
                </c:pt>
                <c:pt idx="53">
                  <c:v>-1.8428636394673958E-9</c:v>
                </c:pt>
                <c:pt idx="54">
                  <c:v>90.466139853690379</c:v>
                </c:pt>
                <c:pt idx="55">
                  <c:v>90.466139853690379</c:v>
                </c:pt>
                <c:pt idx="56">
                  <c:v>90.466139853690379</c:v>
                </c:pt>
                <c:pt idx="57">
                  <c:v>-5.8895507777378953E-5</c:v>
                </c:pt>
                <c:pt idx="58">
                  <c:v>-5.8895507777378953E-5</c:v>
                </c:pt>
                <c:pt idx="59">
                  <c:v>-5.8895507777378953E-5</c:v>
                </c:pt>
                <c:pt idx="60">
                  <c:v>-1.6241557525859207E-2</c:v>
                </c:pt>
                <c:pt idx="61">
                  <c:v>-1.6241557525859207E-2</c:v>
                </c:pt>
                <c:pt idx="62">
                  <c:v>-1.6241557525859207E-2</c:v>
                </c:pt>
                <c:pt idx="63">
                  <c:v>105.14146298067715</c:v>
                </c:pt>
                <c:pt idx="64">
                  <c:v>105.14146298067715</c:v>
                </c:pt>
                <c:pt idx="65">
                  <c:v>105.14146298067715</c:v>
                </c:pt>
                <c:pt idx="66">
                  <c:v>104.93352805317636</c:v>
                </c:pt>
                <c:pt idx="67">
                  <c:v>104.93352805317636</c:v>
                </c:pt>
                <c:pt idx="68">
                  <c:v>104.93352805317636</c:v>
                </c:pt>
                <c:pt idx="69">
                  <c:v>-3.5648821217137083E-2</c:v>
                </c:pt>
                <c:pt idx="70">
                  <c:v>-3.5648821217137083E-2</c:v>
                </c:pt>
                <c:pt idx="71">
                  <c:v>-3.5648821217137083E-2</c:v>
                </c:pt>
                <c:pt idx="72">
                  <c:v>-1.9393768752706819E-4</c:v>
                </c:pt>
                <c:pt idx="73">
                  <c:v>-1.9393768752706819E-4</c:v>
                </c:pt>
                <c:pt idx="74">
                  <c:v>-1.9393768752706819E-4</c:v>
                </c:pt>
                <c:pt idx="75">
                  <c:v>101.00101786487585</c:v>
                </c:pt>
                <c:pt idx="76">
                  <c:v>101.00101786487585</c:v>
                </c:pt>
                <c:pt idx="77">
                  <c:v>101.00101786487585</c:v>
                </c:pt>
                <c:pt idx="78">
                  <c:v>93.14495976764556</c:v>
                </c:pt>
                <c:pt idx="79">
                  <c:v>93.14495976764556</c:v>
                </c:pt>
                <c:pt idx="80">
                  <c:v>93.14495976764556</c:v>
                </c:pt>
                <c:pt idx="81">
                  <c:v>-1.3891540359054488E-3</c:v>
                </c:pt>
                <c:pt idx="82">
                  <c:v>-1.3891540359054488E-3</c:v>
                </c:pt>
                <c:pt idx="83">
                  <c:v>-1.3891540359054488E-3</c:v>
                </c:pt>
                <c:pt idx="84">
                  <c:v>8.8062562258437538</c:v>
                </c:pt>
                <c:pt idx="85">
                  <c:v>8.8062562258437538</c:v>
                </c:pt>
                <c:pt idx="86">
                  <c:v>8.8062562258437538</c:v>
                </c:pt>
                <c:pt idx="87">
                  <c:v>154.14118654422236</c:v>
                </c:pt>
                <c:pt idx="88">
                  <c:v>154.14118654422236</c:v>
                </c:pt>
                <c:pt idx="89">
                  <c:v>154.14118654422236</c:v>
                </c:pt>
                <c:pt idx="90">
                  <c:v>134.30780442875948</c:v>
                </c:pt>
                <c:pt idx="91">
                  <c:v>143.91601347987262</c:v>
                </c:pt>
                <c:pt idx="92">
                  <c:v>143.91601347987262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-4.4445869900755497E-2</c:v>
                </c:pt>
                <c:pt idx="97">
                  <c:v>-4.4445869900755497E-2</c:v>
                </c:pt>
                <c:pt idx="98">
                  <c:v>-4.4445869900755497E-2</c:v>
                </c:pt>
                <c:pt idx="99">
                  <c:v>138.12099337695031</c:v>
                </c:pt>
                <c:pt idx="100">
                  <c:v>138.12099337695031</c:v>
                </c:pt>
                <c:pt idx="101">
                  <c:v>138.12099337695031</c:v>
                </c:pt>
                <c:pt idx="102">
                  <c:v>137.77732178468273</c:v>
                </c:pt>
                <c:pt idx="103">
                  <c:v>137.77732178468273</c:v>
                </c:pt>
                <c:pt idx="104">
                  <c:v>137.77732178468273</c:v>
                </c:pt>
                <c:pt idx="105">
                  <c:v>8.03527224525169E-3</c:v>
                </c:pt>
                <c:pt idx="106">
                  <c:v>8.03527224525169E-3</c:v>
                </c:pt>
                <c:pt idx="107">
                  <c:v>8.03527224525169E-3</c:v>
                </c:pt>
                <c:pt idx="108">
                  <c:v>-6.2067752537586784E-4</c:v>
                </c:pt>
                <c:pt idx="109">
                  <c:v>-6.2067752537586784E-4</c:v>
                </c:pt>
                <c:pt idx="110">
                  <c:v>-6.2067752537586784E-4</c:v>
                </c:pt>
                <c:pt idx="111">
                  <c:v>149.14812924277089</c:v>
                </c:pt>
                <c:pt idx="112">
                  <c:v>149.14812924277089</c:v>
                </c:pt>
                <c:pt idx="113">
                  <c:v>149.14812924277089</c:v>
                </c:pt>
                <c:pt idx="114">
                  <c:v>160.75707513801922</c:v>
                </c:pt>
                <c:pt idx="115">
                  <c:v>160.75707513801922</c:v>
                </c:pt>
                <c:pt idx="116">
                  <c:v>160.75707513801922</c:v>
                </c:pt>
                <c:pt idx="117">
                  <c:v>-2.7639790425837418E-3</c:v>
                </c:pt>
                <c:pt idx="118">
                  <c:v>-2.7639790425837418E-3</c:v>
                </c:pt>
                <c:pt idx="119">
                  <c:v>-2.7639790425837418E-3</c:v>
                </c:pt>
                <c:pt idx="120">
                  <c:v>-0.17694360476207294</c:v>
                </c:pt>
                <c:pt idx="121">
                  <c:v>-0.17694360476207294</c:v>
                </c:pt>
                <c:pt idx="122">
                  <c:v>-0.17694360476207294</c:v>
                </c:pt>
                <c:pt idx="123">
                  <c:v>181.39726433831788</c:v>
                </c:pt>
                <c:pt idx="124">
                  <c:v>181.39726433831788</c:v>
                </c:pt>
                <c:pt idx="125">
                  <c:v>181.39726433831788</c:v>
                </c:pt>
                <c:pt idx="126">
                  <c:v>195.68902276887661</c:v>
                </c:pt>
                <c:pt idx="127">
                  <c:v>195.68902276887661</c:v>
                </c:pt>
                <c:pt idx="128">
                  <c:v>195.68902276887661</c:v>
                </c:pt>
                <c:pt idx="129">
                  <c:v>0.22361288306365168</c:v>
                </c:pt>
                <c:pt idx="130">
                  <c:v>0.22361288306365168</c:v>
                </c:pt>
                <c:pt idx="131">
                  <c:v>0.22361288306365168</c:v>
                </c:pt>
                <c:pt idx="132">
                  <c:v>0.21487883582835821</c:v>
                </c:pt>
                <c:pt idx="133">
                  <c:v>0.21487883582835821</c:v>
                </c:pt>
                <c:pt idx="134">
                  <c:v>0.21487883582835821</c:v>
                </c:pt>
                <c:pt idx="135">
                  <c:v>0.21487883582835821</c:v>
                </c:pt>
                <c:pt idx="136">
                  <c:v>0.21487883582835821</c:v>
                </c:pt>
                <c:pt idx="137">
                  <c:v>0.21487883582835821</c:v>
                </c:pt>
                <c:pt idx="138">
                  <c:v>0.1321352304382799</c:v>
                </c:pt>
                <c:pt idx="139">
                  <c:v>0.1321352304382799</c:v>
                </c:pt>
                <c:pt idx="140">
                  <c:v>0.1321352304382799</c:v>
                </c:pt>
                <c:pt idx="141">
                  <c:v>3.311759802954839E-3</c:v>
                </c:pt>
                <c:pt idx="142">
                  <c:v>3.311759802954839E-3</c:v>
                </c:pt>
                <c:pt idx="143">
                  <c:v>3.311759802954839E-3</c:v>
                </c:pt>
                <c:pt idx="14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0D6-44A7-9453-0F20D8646F79}"/>
            </c:ext>
          </c:extLst>
        </c:ser>
        <c:ser>
          <c:idx val="10"/>
          <c:order val="5"/>
          <c:tx>
            <c:v>Sample Points</c:v>
          </c:tx>
          <c:spPr>
            <a:ln w="6350">
              <a:solidFill>
                <a:schemeClr val="tx1">
                  <a:alpha val="25000"/>
                </a:schemeClr>
              </a:solidFill>
            </a:ln>
          </c:spPr>
          <c:marker>
            <c:symbol val="none"/>
          </c:marker>
          <c:xVal>
            <c:numRef>
              <c:f>Path!$AH$28:$AH$166</c:f>
              <c:numCache>
                <c:formatCode>0.0</c:formatCode>
                <c:ptCount val="139"/>
                <c:pt idx="0">
                  <c:v>5.4023301165111309E-2</c:v>
                </c:pt>
                <c:pt idx="1">
                  <c:v>5.4023301165111309E-2</c:v>
                </c:pt>
                <c:pt idx="3">
                  <c:v>17.943403406248844</c:v>
                </c:pt>
                <c:pt idx="4">
                  <c:v>17.943403406248844</c:v>
                </c:pt>
                <c:pt idx="6">
                  <c:v>39.485675510394529</c:v>
                </c:pt>
                <c:pt idx="7">
                  <c:v>39.485675510394529</c:v>
                </c:pt>
                <c:pt idx="9">
                  <c:v>40.988113638086659</c:v>
                </c:pt>
                <c:pt idx="10">
                  <c:v>40.988113638086659</c:v>
                </c:pt>
                <c:pt idx="12">
                  <c:v>43.215335054211842</c:v>
                </c:pt>
                <c:pt idx="13">
                  <c:v>43.215335054211842</c:v>
                </c:pt>
                <c:pt idx="15">
                  <c:v>44.665364740744536</c:v>
                </c:pt>
                <c:pt idx="16">
                  <c:v>44.665364740744536</c:v>
                </c:pt>
                <c:pt idx="18">
                  <c:v>46.549688331419766</c:v>
                </c:pt>
                <c:pt idx="19">
                  <c:v>46.549688331419766</c:v>
                </c:pt>
                <c:pt idx="21">
                  <c:v>112.11059397271197</c:v>
                </c:pt>
                <c:pt idx="22">
                  <c:v>112.11059397271197</c:v>
                </c:pt>
                <c:pt idx="24">
                  <c:v>114.5951147102783</c:v>
                </c:pt>
                <c:pt idx="25">
                  <c:v>114.5951147102783</c:v>
                </c:pt>
                <c:pt idx="27">
                  <c:v>118.07850879064127</c:v>
                </c:pt>
                <c:pt idx="28">
                  <c:v>118.07850879064127</c:v>
                </c:pt>
                <c:pt idx="30">
                  <c:v>120.64088552018306</c:v>
                </c:pt>
                <c:pt idx="31">
                  <c:v>120.64088552018306</c:v>
                </c:pt>
                <c:pt idx="33">
                  <c:v>170.84676616081998</c:v>
                </c:pt>
                <c:pt idx="34">
                  <c:v>170.84676616081998</c:v>
                </c:pt>
                <c:pt idx="36">
                  <c:v>174.05562754046974</c:v>
                </c:pt>
                <c:pt idx="37">
                  <c:v>174.05562754046974</c:v>
                </c:pt>
                <c:pt idx="39">
                  <c:v>178.54473745716049</c:v>
                </c:pt>
                <c:pt idx="40">
                  <c:v>178.54473745716049</c:v>
                </c:pt>
                <c:pt idx="42">
                  <c:v>181.83941181901429</c:v>
                </c:pt>
                <c:pt idx="43">
                  <c:v>181.83941181901429</c:v>
                </c:pt>
                <c:pt idx="45">
                  <c:v>183.73887512496501</c:v>
                </c:pt>
                <c:pt idx="46">
                  <c:v>183.73887512496501</c:v>
                </c:pt>
                <c:pt idx="48">
                  <c:v>187.08146834809034</c:v>
                </c:pt>
                <c:pt idx="49">
                  <c:v>187.08146834809034</c:v>
                </c:pt>
                <c:pt idx="51">
                  <c:v>194.53930487804482</c:v>
                </c:pt>
                <c:pt idx="52">
                  <c:v>194.53930487804482</c:v>
                </c:pt>
                <c:pt idx="54">
                  <c:v>227.44620723451311</c:v>
                </c:pt>
                <c:pt idx="55">
                  <c:v>227.44620723451311</c:v>
                </c:pt>
                <c:pt idx="57">
                  <c:v>231.32413150301491</c:v>
                </c:pt>
                <c:pt idx="58">
                  <c:v>231.32413150301491</c:v>
                </c:pt>
                <c:pt idx="60">
                  <c:v>236.827607150864</c:v>
                </c:pt>
                <c:pt idx="61">
                  <c:v>236.827607150864</c:v>
                </c:pt>
                <c:pt idx="63">
                  <c:v>240.73272527637991</c:v>
                </c:pt>
                <c:pt idx="64">
                  <c:v>240.73272527637991</c:v>
                </c:pt>
                <c:pt idx="66">
                  <c:v>272.62589802477845</c:v>
                </c:pt>
                <c:pt idx="67">
                  <c:v>272.62589802477845</c:v>
                </c:pt>
                <c:pt idx="69">
                  <c:v>276.66509260115197</c:v>
                </c:pt>
                <c:pt idx="70">
                  <c:v>276.66509260115197</c:v>
                </c:pt>
                <c:pt idx="72">
                  <c:v>282.83175501432817</c:v>
                </c:pt>
                <c:pt idx="73">
                  <c:v>282.83175501432817</c:v>
                </c:pt>
                <c:pt idx="75">
                  <c:v>287.11748904164142</c:v>
                </c:pt>
                <c:pt idx="76">
                  <c:v>287.11748904164142</c:v>
                </c:pt>
                <c:pt idx="78">
                  <c:v>289.01356588901376</c:v>
                </c:pt>
                <c:pt idx="79">
                  <c:v>289.01356588901376</c:v>
                </c:pt>
                <c:pt idx="81">
                  <c:v>293.67539714584416</c:v>
                </c:pt>
                <c:pt idx="82">
                  <c:v>293.67539714584416</c:v>
                </c:pt>
                <c:pt idx="84">
                  <c:v>300.34360198138137</c:v>
                </c:pt>
                <c:pt idx="85">
                  <c:v>300.34360198138137</c:v>
                </c:pt>
                <c:pt idx="87">
                  <c:v>305.33805018479768</c:v>
                </c:pt>
                <c:pt idx="88">
                  <c:v>305.33805018479768</c:v>
                </c:pt>
                <c:pt idx="90">
                  <c:v>314.99896519903882</c:v>
                </c:pt>
                <c:pt idx="91">
                  <c:v>314.99896519903882</c:v>
                </c:pt>
                <c:pt idx="93">
                  <c:v>320.08237995918807</c:v>
                </c:pt>
                <c:pt idx="94">
                  <c:v>320.08237995918807</c:v>
                </c:pt>
                <c:pt idx="96">
                  <c:v>327.31360170491905</c:v>
                </c:pt>
                <c:pt idx="97">
                  <c:v>327.31360170491905</c:v>
                </c:pt>
                <c:pt idx="99">
                  <c:v>332.45650577871135</c:v>
                </c:pt>
                <c:pt idx="100">
                  <c:v>332.45650577871135</c:v>
                </c:pt>
                <c:pt idx="102">
                  <c:v>334.35183301794285</c:v>
                </c:pt>
                <c:pt idx="103">
                  <c:v>334.35183301794285</c:v>
                </c:pt>
                <c:pt idx="105">
                  <c:v>339.84280899565243</c:v>
                </c:pt>
                <c:pt idx="106">
                  <c:v>339.84280899565243</c:v>
                </c:pt>
                <c:pt idx="108">
                  <c:v>347.48930897885367</c:v>
                </c:pt>
                <c:pt idx="109">
                  <c:v>347.48930897885367</c:v>
                </c:pt>
                <c:pt idx="111">
                  <c:v>353.27288705892704</c:v>
                </c:pt>
                <c:pt idx="112">
                  <c:v>353.27288705892704</c:v>
                </c:pt>
                <c:pt idx="114">
                  <c:v>391.13269157905142</c:v>
                </c:pt>
                <c:pt idx="115">
                  <c:v>391.13269157905142</c:v>
                </c:pt>
                <c:pt idx="117">
                  <c:v>397.81036324517828</c:v>
                </c:pt>
                <c:pt idx="118">
                  <c:v>397.81036324517828</c:v>
                </c:pt>
                <c:pt idx="120">
                  <c:v>407.10944264944067</c:v>
                </c:pt>
                <c:pt idx="121">
                  <c:v>407.10944264944067</c:v>
                </c:pt>
                <c:pt idx="123">
                  <c:v>414.14316011469992</c:v>
                </c:pt>
                <c:pt idx="124">
                  <c:v>414.14316011469992</c:v>
                </c:pt>
                <c:pt idx="126">
                  <c:v>416.04159869292658</c:v>
                </c:pt>
                <c:pt idx="127">
                  <c:v>416.04159869292658</c:v>
                </c:pt>
                <c:pt idx="129">
                  <c:v>416.04159869292658</c:v>
                </c:pt>
                <c:pt idx="130">
                  <c:v>416.04159869292658</c:v>
                </c:pt>
                <c:pt idx="132">
                  <c:v>434.02680627612671</c:v>
                </c:pt>
                <c:pt idx="133">
                  <c:v>434.02680627612671</c:v>
                </c:pt>
                <c:pt idx="135">
                  <c:v>462.02774841541464</c:v>
                </c:pt>
                <c:pt idx="136">
                  <c:v>462.02774841541464</c:v>
                </c:pt>
              </c:numCache>
            </c:numRef>
          </c:xVal>
          <c:yVal>
            <c:numRef>
              <c:f>Path!$AI$28:$AI$166</c:f>
              <c:numCache>
                <c:formatCode>0.0</c:formatCode>
                <c:ptCount val="139"/>
                <c:pt idx="0">
                  <c:v>906.41522996686899</c:v>
                </c:pt>
                <c:pt idx="1">
                  <c:v>-906.41522996686899</c:v>
                </c:pt>
                <c:pt idx="3">
                  <c:v>906.41522996686899</c:v>
                </c:pt>
                <c:pt idx="4">
                  <c:v>-906.41522996686899</c:v>
                </c:pt>
                <c:pt idx="6">
                  <c:v>906.41522996686899</c:v>
                </c:pt>
                <c:pt idx="7">
                  <c:v>-906.41522996686899</c:v>
                </c:pt>
                <c:pt idx="9">
                  <c:v>906.41522996686899</c:v>
                </c:pt>
                <c:pt idx="10">
                  <c:v>-906.41522996686899</c:v>
                </c:pt>
                <c:pt idx="12">
                  <c:v>906.41522996686899</c:v>
                </c:pt>
                <c:pt idx="13">
                  <c:v>-906.41522996686899</c:v>
                </c:pt>
                <c:pt idx="15">
                  <c:v>906.41522996686899</c:v>
                </c:pt>
                <c:pt idx="16">
                  <c:v>-906.41522996686899</c:v>
                </c:pt>
                <c:pt idx="18">
                  <c:v>906.41522996686899</c:v>
                </c:pt>
                <c:pt idx="19">
                  <c:v>-906.41522996686899</c:v>
                </c:pt>
                <c:pt idx="21">
                  <c:v>906.41522996686899</c:v>
                </c:pt>
                <c:pt idx="22">
                  <c:v>-906.41522996686899</c:v>
                </c:pt>
                <c:pt idx="24">
                  <c:v>906.41522996686899</c:v>
                </c:pt>
                <c:pt idx="25">
                  <c:v>-906.41522996686899</c:v>
                </c:pt>
                <c:pt idx="27">
                  <c:v>906.41522996686899</c:v>
                </c:pt>
                <c:pt idx="28">
                  <c:v>-906.41522996686899</c:v>
                </c:pt>
                <c:pt idx="30">
                  <c:v>906.41522996686899</c:v>
                </c:pt>
                <c:pt idx="31">
                  <c:v>-906.41522996686899</c:v>
                </c:pt>
                <c:pt idx="33">
                  <c:v>906.41522996686899</c:v>
                </c:pt>
                <c:pt idx="34">
                  <c:v>-906.41522996686899</c:v>
                </c:pt>
                <c:pt idx="36">
                  <c:v>906.41522996686899</c:v>
                </c:pt>
                <c:pt idx="37">
                  <c:v>-906.41522996686899</c:v>
                </c:pt>
                <c:pt idx="39">
                  <c:v>906.41522996686899</c:v>
                </c:pt>
                <c:pt idx="40">
                  <c:v>-906.41522996686899</c:v>
                </c:pt>
                <c:pt idx="42">
                  <c:v>906.41522996686899</c:v>
                </c:pt>
                <c:pt idx="43">
                  <c:v>-906.41522996686899</c:v>
                </c:pt>
                <c:pt idx="45">
                  <c:v>906.41522996686899</c:v>
                </c:pt>
                <c:pt idx="46">
                  <c:v>-906.41522996686899</c:v>
                </c:pt>
                <c:pt idx="48">
                  <c:v>906.41522996686899</c:v>
                </c:pt>
                <c:pt idx="49">
                  <c:v>-906.41522996686899</c:v>
                </c:pt>
                <c:pt idx="51">
                  <c:v>906.41522996686899</c:v>
                </c:pt>
                <c:pt idx="52">
                  <c:v>-906.41522996686899</c:v>
                </c:pt>
                <c:pt idx="54">
                  <c:v>906.41522996686899</c:v>
                </c:pt>
                <c:pt idx="55">
                  <c:v>-906.41522996686899</c:v>
                </c:pt>
                <c:pt idx="57">
                  <c:v>906.41522996686899</c:v>
                </c:pt>
                <c:pt idx="58">
                  <c:v>-906.41522996686899</c:v>
                </c:pt>
                <c:pt idx="60">
                  <c:v>906.41522996686899</c:v>
                </c:pt>
                <c:pt idx="61">
                  <c:v>-906.41522996686899</c:v>
                </c:pt>
                <c:pt idx="63">
                  <c:v>906.41522996686899</c:v>
                </c:pt>
                <c:pt idx="64">
                  <c:v>-906.41522996686899</c:v>
                </c:pt>
                <c:pt idx="66">
                  <c:v>906.41522996686899</c:v>
                </c:pt>
                <c:pt idx="67">
                  <c:v>-906.41522996686899</c:v>
                </c:pt>
                <c:pt idx="69">
                  <c:v>906.41522996686899</c:v>
                </c:pt>
                <c:pt idx="70">
                  <c:v>-906.41522996686899</c:v>
                </c:pt>
                <c:pt idx="72">
                  <c:v>906.41522996686899</c:v>
                </c:pt>
                <c:pt idx="73">
                  <c:v>-906.41522996686899</c:v>
                </c:pt>
                <c:pt idx="75">
                  <c:v>906.41522996686899</c:v>
                </c:pt>
                <c:pt idx="76">
                  <c:v>-906.41522996686899</c:v>
                </c:pt>
                <c:pt idx="78">
                  <c:v>906.41522996686899</c:v>
                </c:pt>
                <c:pt idx="79">
                  <c:v>-906.41522996686899</c:v>
                </c:pt>
                <c:pt idx="81">
                  <c:v>906.41522996686899</c:v>
                </c:pt>
                <c:pt idx="82">
                  <c:v>-906.41522996686899</c:v>
                </c:pt>
                <c:pt idx="84">
                  <c:v>906.41522996686899</c:v>
                </c:pt>
                <c:pt idx="85">
                  <c:v>-906.41522996686899</c:v>
                </c:pt>
                <c:pt idx="87">
                  <c:v>906.41522996686899</c:v>
                </c:pt>
                <c:pt idx="88">
                  <c:v>-906.41522996686899</c:v>
                </c:pt>
                <c:pt idx="90">
                  <c:v>906.41522996686899</c:v>
                </c:pt>
                <c:pt idx="91">
                  <c:v>-906.41522996686899</c:v>
                </c:pt>
                <c:pt idx="93">
                  <c:v>906.41522996686899</c:v>
                </c:pt>
                <c:pt idx="94">
                  <c:v>-906.41522996686899</c:v>
                </c:pt>
                <c:pt idx="96">
                  <c:v>906.41522996686899</c:v>
                </c:pt>
                <c:pt idx="97">
                  <c:v>-906.41522996686899</c:v>
                </c:pt>
                <c:pt idx="99">
                  <c:v>906.41522996686899</c:v>
                </c:pt>
                <c:pt idx="100">
                  <c:v>-906.41522996686899</c:v>
                </c:pt>
                <c:pt idx="102">
                  <c:v>906.41522996686899</c:v>
                </c:pt>
                <c:pt idx="103">
                  <c:v>-906.41522996686899</c:v>
                </c:pt>
                <c:pt idx="105">
                  <c:v>906.41522996686899</c:v>
                </c:pt>
                <c:pt idx="106">
                  <c:v>-906.41522996686899</c:v>
                </c:pt>
                <c:pt idx="108">
                  <c:v>906.41522996686899</c:v>
                </c:pt>
                <c:pt idx="109">
                  <c:v>-906.41522996686899</c:v>
                </c:pt>
                <c:pt idx="111">
                  <c:v>906.41522996686899</c:v>
                </c:pt>
                <c:pt idx="112">
                  <c:v>-906.41522996686899</c:v>
                </c:pt>
                <c:pt idx="114">
                  <c:v>906.41522996686899</c:v>
                </c:pt>
                <c:pt idx="115">
                  <c:v>-906.41522996686899</c:v>
                </c:pt>
                <c:pt idx="117">
                  <c:v>906.41522996686899</c:v>
                </c:pt>
                <c:pt idx="118">
                  <c:v>-906.41522996686899</c:v>
                </c:pt>
                <c:pt idx="120">
                  <c:v>906.41522996686899</c:v>
                </c:pt>
                <c:pt idx="121">
                  <c:v>-906.41522996686899</c:v>
                </c:pt>
                <c:pt idx="123">
                  <c:v>906.41522996686899</c:v>
                </c:pt>
                <c:pt idx="124">
                  <c:v>-906.41522996686899</c:v>
                </c:pt>
                <c:pt idx="126">
                  <c:v>906.41522996686899</c:v>
                </c:pt>
                <c:pt idx="127">
                  <c:v>-906.41522996686899</c:v>
                </c:pt>
                <c:pt idx="129">
                  <c:v>906.41522996686899</c:v>
                </c:pt>
                <c:pt idx="130">
                  <c:v>-906.41522996686899</c:v>
                </c:pt>
                <c:pt idx="132">
                  <c:v>906.41522996686899</c:v>
                </c:pt>
                <c:pt idx="133">
                  <c:v>-906.41522996686899</c:v>
                </c:pt>
                <c:pt idx="135">
                  <c:v>906.41522996686899</c:v>
                </c:pt>
                <c:pt idx="136">
                  <c:v>-906.41522996686899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0D6-44A7-9453-0F20D8646F79}"/>
            </c:ext>
          </c:extLst>
        </c:ser>
        <c:ser>
          <c:idx val="11"/>
          <c:order val="6"/>
          <c:tx>
            <c:v>Conical (+)</c:v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Path!$O$24:$O$165</c:f>
              <c:numCache>
                <c:formatCode>0.0</c:formatCode>
                <c:ptCount val="142"/>
                <c:pt idx="0">
                  <c:v>1.2541546914346694E-3</c:v>
                </c:pt>
                <c:pt idx="1">
                  <c:v>1.2541546914346694E-3</c:v>
                </c:pt>
                <c:pt idx="2">
                  <c:v>1.2541546914346694E-3</c:v>
                </c:pt>
                <c:pt idx="3">
                  <c:v>5.4023301165111309E-2</c:v>
                </c:pt>
                <c:pt idx="4">
                  <c:v>5.4023301165111309E-2</c:v>
                </c:pt>
                <c:pt idx="5">
                  <c:v>5.4023301165111309E-2</c:v>
                </c:pt>
                <c:pt idx="6">
                  <c:v>17.943403406248844</c:v>
                </c:pt>
                <c:pt idx="7">
                  <c:v>17.943403406248844</c:v>
                </c:pt>
                <c:pt idx="8">
                  <c:v>17.943403406248844</c:v>
                </c:pt>
                <c:pt idx="9">
                  <c:v>39.485675510394529</c:v>
                </c:pt>
                <c:pt idx="10">
                  <c:v>39.485675510394529</c:v>
                </c:pt>
                <c:pt idx="11">
                  <c:v>39.485675510394529</c:v>
                </c:pt>
                <c:pt idx="12">
                  <c:v>40.988113638086659</c:v>
                </c:pt>
                <c:pt idx="13">
                  <c:v>40.988113638086659</c:v>
                </c:pt>
                <c:pt idx="14">
                  <c:v>40.988113638086659</c:v>
                </c:pt>
                <c:pt idx="15">
                  <c:v>43.215335054211842</c:v>
                </c:pt>
                <c:pt idx="16">
                  <c:v>43.215335054211842</c:v>
                </c:pt>
                <c:pt idx="17">
                  <c:v>43.215335054211842</c:v>
                </c:pt>
                <c:pt idx="18">
                  <c:v>44.665364740744536</c:v>
                </c:pt>
                <c:pt idx="19">
                  <c:v>44.665364740744536</c:v>
                </c:pt>
                <c:pt idx="20">
                  <c:v>44.665364740744536</c:v>
                </c:pt>
                <c:pt idx="21">
                  <c:v>46.549688331419766</c:v>
                </c:pt>
                <c:pt idx="22">
                  <c:v>46.549688331419766</c:v>
                </c:pt>
                <c:pt idx="23">
                  <c:v>46.549688331419766</c:v>
                </c:pt>
                <c:pt idx="24">
                  <c:v>112.11059397271197</c:v>
                </c:pt>
                <c:pt idx="25">
                  <c:v>112.11059397271197</c:v>
                </c:pt>
                <c:pt idx="26">
                  <c:v>112.11059397271197</c:v>
                </c:pt>
                <c:pt idx="27">
                  <c:v>114.5951147102783</c:v>
                </c:pt>
                <c:pt idx="28">
                  <c:v>114.5951147102783</c:v>
                </c:pt>
                <c:pt idx="29">
                  <c:v>114.5951147102783</c:v>
                </c:pt>
                <c:pt idx="30">
                  <c:v>118.07850879064127</c:v>
                </c:pt>
                <c:pt idx="31">
                  <c:v>118.07850879064127</c:v>
                </c:pt>
                <c:pt idx="32">
                  <c:v>118.07850879064127</c:v>
                </c:pt>
                <c:pt idx="33">
                  <c:v>120.64088552018306</c:v>
                </c:pt>
                <c:pt idx="34">
                  <c:v>120.64088552018306</c:v>
                </c:pt>
                <c:pt idx="35">
                  <c:v>120.64088552018306</c:v>
                </c:pt>
                <c:pt idx="36">
                  <c:v>170.84676616081998</c:v>
                </c:pt>
                <c:pt idx="37">
                  <c:v>170.84676616081998</c:v>
                </c:pt>
                <c:pt idx="38">
                  <c:v>170.84676616081998</c:v>
                </c:pt>
                <c:pt idx="39">
                  <c:v>174.05562754046974</c:v>
                </c:pt>
                <c:pt idx="40">
                  <c:v>174.05562754046974</c:v>
                </c:pt>
                <c:pt idx="41">
                  <c:v>174.05562754046974</c:v>
                </c:pt>
                <c:pt idx="42">
                  <c:v>178.54473745716049</c:v>
                </c:pt>
                <c:pt idx="43">
                  <c:v>178.54473745716049</c:v>
                </c:pt>
                <c:pt idx="44">
                  <c:v>178.54473745716049</c:v>
                </c:pt>
                <c:pt idx="45">
                  <c:v>181.83941181901429</c:v>
                </c:pt>
                <c:pt idx="46">
                  <c:v>181.83941181901429</c:v>
                </c:pt>
                <c:pt idx="47">
                  <c:v>181.83941181901429</c:v>
                </c:pt>
                <c:pt idx="48">
                  <c:v>183.73887512496501</c:v>
                </c:pt>
                <c:pt idx="49">
                  <c:v>183.73887512496501</c:v>
                </c:pt>
                <c:pt idx="50">
                  <c:v>183.73887512496501</c:v>
                </c:pt>
                <c:pt idx="51">
                  <c:v>187.08146834809034</c:v>
                </c:pt>
                <c:pt idx="52">
                  <c:v>187.08146834809034</c:v>
                </c:pt>
                <c:pt idx="53">
                  <c:v>187.08146834809034</c:v>
                </c:pt>
                <c:pt idx="54">
                  <c:v>194.53930487804482</c:v>
                </c:pt>
                <c:pt idx="55">
                  <c:v>194.53930487804482</c:v>
                </c:pt>
                <c:pt idx="56">
                  <c:v>194.53930487804482</c:v>
                </c:pt>
                <c:pt idx="57">
                  <c:v>227.44620723451311</c:v>
                </c:pt>
                <c:pt idx="58">
                  <c:v>227.44620723451311</c:v>
                </c:pt>
                <c:pt idx="59">
                  <c:v>227.44620723451311</c:v>
                </c:pt>
                <c:pt idx="60">
                  <c:v>231.32413150301491</c:v>
                </c:pt>
                <c:pt idx="61">
                  <c:v>231.32413150301491</c:v>
                </c:pt>
                <c:pt idx="62">
                  <c:v>231.32413150301491</c:v>
                </c:pt>
                <c:pt idx="63">
                  <c:v>236.827607150864</c:v>
                </c:pt>
                <c:pt idx="64">
                  <c:v>236.827607150864</c:v>
                </c:pt>
                <c:pt idx="65">
                  <c:v>236.827607150864</c:v>
                </c:pt>
                <c:pt idx="66">
                  <c:v>240.73272527637991</c:v>
                </c:pt>
                <c:pt idx="67">
                  <c:v>240.73272527637991</c:v>
                </c:pt>
                <c:pt idx="68">
                  <c:v>240.73272527637991</c:v>
                </c:pt>
                <c:pt idx="69">
                  <c:v>272.62589802477845</c:v>
                </c:pt>
                <c:pt idx="70">
                  <c:v>272.62589802477845</c:v>
                </c:pt>
                <c:pt idx="71">
                  <c:v>272.62589802477845</c:v>
                </c:pt>
                <c:pt idx="72">
                  <c:v>276.66509260115197</c:v>
                </c:pt>
                <c:pt idx="73">
                  <c:v>276.66509260115197</c:v>
                </c:pt>
                <c:pt idx="74">
                  <c:v>276.66509260115197</c:v>
                </c:pt>
                <c:pt idx="75">
                  <c:v>282.83175501432817</c:v>
                </c:pt>
                <c:pt idx="76">
                  <c:v>282.83175501432817</c:v>
                </c:pt>
                <c:pt idx="77">
                  <c:v>282.83175501432817</c:v>
                </c:pt>
                <c:pt idx="78">
                  <c:v>287.11748904164142</c:v>
                </c:pt>
                <c:pt idx="79">
                  <c:v>287.11748904164142</c:v>
                </c:pt>
                <c:pt idx="80">
                  <c:v>287.11748904164142</c:v>
                </c:pt>
                <c:pt idx="81">
                  <c:v>289.01356588901376</c:v>
                </c:pt>
                <c:pt idx="82">
                  <c:v>289.01356588901376</c:v>
                </c:pt>
                <c:pt idx="83">
                  <c:v>289.01356588901376</c:v>
                </c:pt>
                <c:pt idx="84">
                  <c:v>293.67539714584416</c:v>
                </c:pt>
                <c:pt idx="85">
                  <c:v>293.67539714584416</c:v>
                </c:pt>
                <c:pt idx="86">
                  <c:v>293.67539714584416</c:v>
                </c:pt>
                <c:pt idx="87">
                  <c:v>300.34360198138137</c:v>
                </c:pt>
                <c:pt idx="88">
                  <c:v>300.34360198138137</c:v>
                </c:pt>
                <c:pt idx="89">
                  <c:v>300.34360198138137</c:v>
                </c:pt>
                <c:pt idx="90">
                  <c:v>305.33805018479768</c:v>
                </c:pt>
                <c:pt idx="91">
                  <c:v>305.33805018479768</c:v>
                </c:pt>
                <c:pt idx="92">
                  <c:v>305.33805018479768</c:v>
                </c:pt>
                <c:pt idx="93">
                  <c:v>314.99896519903882</c:v>
                </c:pt>
                <c:pt idx="94">
                  <c:v>314.99896519903882</c:v>
                </c:pt>
                <c:pt idx="95">
                  <c:v>314.99896519903882</c:v>
                </c:pt>
                <c:pt idx="96">
                  <c:v>320.08237995918807</c:v>
                </c:pt>
                <c:pt idx="97">
                  <c:v>320.08237995918807</c:v>
                </c:pt>
                <c:pt idx="98">
                  <c:v>320.08237995918807</c:v>
                </c:pt>
                <c:pt idx="99">
                  <c:v>327.31360170491905</c:v>
                </c:pt>
                <c:pt idx="100">
                  <c:v>327.31360170491905</c:v>
                </c:pt>
                <c:pt idx="101">
                  <c:v>327.31360170491905</c:v>
                </c:pt>
                <c:pt idx="102">
                  <c:v>332.45650577871135</c:v>
                </c:pt>
                <c:pt idx="103">
                  <c:v>332.45650577871135</c:v>
                </c:pt>
                <c:pt idx="104">
                  <c:v>332.45650577871135</c:v>
                </c:pt>
                <c:pt idx="105">
                  <c:v>334.35183301794285</c:v>
                </c:pt>
                <c:pt idx="106">
                  <c:v>334.35183301794285</c:v>
                </c:pt>
                <c:pt idx="107">
                  <c:v>334.35183301794285</c:v>
                </c:pt>
                <c:pt idx="108">
                  <c:v>339.84280899565243</c:v>
                </c:pt>
                <c:pt idx="109">
                  <c:v>339.84280899565243</c:v>
                </c:pt>
                <c:pt idx="110">
                  <c:v>339.84280899565243</c:v>
                </c:pt>
                <c:pt idx="111">
                  <c:v>347.48930897885367</c:v>
                </c:pt>
                <c:pt idx="112">
                  <c:v>347.48930897885367</c:v>
                </c:pt>
                <c:pt idx="113">
                  <c:v>347.48930897885367</c:v>
                </c:pt>
                <c:pt idx="114">
                  <c:v>353.27288705892704</c:v>
                </c:pt>
                <c:pt idx="115">
                  <c:v>353.27288705892704</c:v>
                </c:pt>
                <c:pt idx="116">
                  <c:v>353.27288705892704</c:v>
                </c:pt>
                <c:pt idx="117">
                  <c:v>391.13269157905142</c:v>
                </c:pt>
                <c:pt idx="118">
                  <c:v>391.13269157905142</c:v>
                </c:pt>
                <c:pt idx="119">
                  <c:v>391.13269157905142</c:v>
                </c:pt>
                <c:pt idx="120">
                  <c:v>397.81036324517828</c:v>
                </c:pt>
                <c:pt idx="121">
                  <c:v>397.81036324517828</c:v>
                </c:pt>
                <c:pt idx="122">
                  <c:v>397.81036324517828</c:v>
                </c:pt>
                <c:pt idx="123">
                  <c:v>407.10944264944067</c:v>
                </c:pt>
                <c:pt idx="124">
                  <c:v>407.10944264944067</c:v>
                </c:pt>
                <c:pt idx="125">
                  <c:v>407.10944264944067</c:v>
                </c:pt>
                <c:pt idx="126">
                  <c:v>414.14316011469992</c:v>
                </c:pt>
                <c:pt idx="127">
                  <c:v>414.14316011469992</c:v>
                </c:pt>
                <c:pt idx="128">
                  <c:v>414.14316011469992</c:v>
                </c:pt>
                <c:pt idx="129">
                  <c:v>416.04159869292658</c:v>
                </c:pt>
                <c:pt idx="130">
                  <c:v>416.04159869292658</c:v>
                </c:pt>
                <c:pt idx="131">
                  <c:v>416.04159869292658</c:v>
                </c:pt>
                <c:pt idx="132">
                  <c:v>416.04159869292658</c:v>
                </c:pt>
                <c:pt idx="133">
                  <c:v>416.04159869292658</c:v>
                </c:pt>
                <c:pt idx="134">
                  <c:v>416.04159869292658</c:v>
                </c:pt>
                <c:pt idx="135">
                  <c:v>434.02680627612671</c:v>
                </c:pt>
                <c:pt idx="136">
                  <c:v>434.02680627612671</c:v>
                </c:pt>
                <c:pt idx="137">
                  <c:v>434.02680627612671</c:v>
                </c:pt>
                <c:pt idx="138">
                  <c:v>462.02774841541464</c:v>
                </c:pt>
                <c:pt idx="139">
                  <c:v>462.02774841541464</c:v>
                </c:pt>
                <c:pt idx="140">
                  <c:v>462.02774841541464</c:v>
                </c:pt>
                <c:pt idx="141">
                  <c:v>462.7475944282906</c:v>
                </c:pt>
              </c:numCache>
            </c:numRef>
          </c:xVal>
          <c:yVal>
            <c:numRef>
              <c:f>Path!$AB$24:$AB$165</c:f>
              <c:numCache>
                <c:formatCode>0</c:formatCode>
                <c:ptCount val="142"/>
                <c:pt idx="0">
                  <c:v>127.01036480227398</c:v>
                </c:pt>
                <c:pt idx="1">
                  <c:v>127.01036480227398</c:v>
                </c:pt>
                <c:pt idx="2">
                  <c:v>127.01036480227398</c:v>
                </c:pt>
                <c:pt idx="3">
                  <c:v>127.08207311951959</c:v>
                </c:pt>
                <c:pt idx="4">
                  <c:v>127.08207311951959</c:v>
                </c:pt>
                <c:pt idx="5">
                  <c:v>127.08207311951959</c:v>
                </c:pt>
                <c:pt idx="6">
                  <c:v>151.39206161900674</c:v>
                </c:pt>
                <c:pt idx="7">
                  <c:v>151.39206161900674</c:v>
                </c:pt>
                <c:pt idx="8">
                  <c:v>151.39206161900674</c:v>
                </c:pt>
                <c:pt idx="9">
                  <c:v>172.30608917079644</c:v>
                </c:pt>
                <c:pt idx="10">
                  <c:v>172.30608917079644</c:v>
                </c:pt>
                <c:pt idx="11">
                  <c:v>172.30608917079644</c:v>
                </c:pt>
                <c:pt idx="12">
                  <c:v>173.81517080095477</c:v>
                </c:pt>
                <c:pt idx="13">
                  <c:v>173.81517080095477</c:v>
                </c:pt>
                <c:pt idx="14">
                  <c:v>173.81517080095477</c:v>
                </c:pt>
                <c:pt idx="15">
                  <c:v>176.06434679910456</c:v>
                </c:pt>
                <c:pt idx="16">
                  <c:v>176.06434679910456</c:v>
                </c:pt>
                <c:pt idx="17">
                  <c:v>176.06434679910456</c:v>
                </c:pt>
                <c:pt idx="18">
                  <c:v>177.53644097662803</c:v>
                </c:pt>
                <c:pt idx="19">
                  <c:v>177.53644097662803</c:v>
                </c:pt>
                <c:pt idx="20">
                  <c:v>177.53644097662803</c:v>
                </c:pt>
                <c:pt idx="21">
                  <c:v>179.45859431376172</c:v>
                </c:pt>
                <c:pt idx="22">
                  <c:v>179.45859431376172</c:v>
                </c:pt>
                <c:pt idx="23">
                  <c:v>179.45859431376172</c:v>
                </c:pt>
                <c:pt idx="24">
                  <c:v>252.77995097524141</c:v>
                </c:pt>
                <c:pt idx="25">
                  <c:v>252.77995097524141</c:v>
                </c:pt>
                <c:pt idx="26">
                  <c:v>252.77995097524141</c:v>
                </c:pt>
                <c:pt idx="27">
                  <c:v>255.80495159316354</c:v>
                </c:pt>
                <c:pt idx="28">
                  <c:v>255.80495159316354</c:v>
                </c:pt>
                <c:pt idx="29">
                  <c:v>255.80495159316354</c:v>
                </c:pt>
                <c:pt idx="30">
                  <c:v>260.07641646690706</c:v>
                </c:pt>
                <c:pt idx="31">
                  <c:v>260.07641646690706</c:v>
                </c:pt>
                <c:pt idx="32">
                  <c:v>260.07641646690706</c:v>
                </c:pt>
                <c:pt idx="33">
                  <c:v>263.24107350569352</c:v>
                </c:pt>
                <c:pt idx="34">
                  <c:v>263.24107350569352</c:v>
                </c:pt>
                <c:pt idx="35">
                  <c:v>263.24107350569352</c:v>
                </c:pt>
                <c:pt idx="36">
                  <c:v>329.1087541946697</c:v>
                </c:pt>
                <c:pt idx="37">
                  <c:v>329.1087541946697</c:v>
                </c:pt>
                <c:pt idx="38">
                  <c:v>329.1087541946697</c:v>
                </c:pt>
                <c:pt idx="39">
                  <c:v>333.5684222520419</c:v>
                </c:pt>
                <c:pt idx="40">
                  <c:v>333.5684222520419</c:v>
                </c:pt>
                <c:pt idx="41">
                  <c:v>333.5684222520419</c:v>
                </c:pt>
                <c:pt idx="42">
                  <c:v>339.85773985456632</c:v>
                </c:pt>
                <c:pt idx="43">
                  <c:v>339.85773985456632</c:v>
                </c:pt>
                <c:pt idx="44">
                  <c:v>339.85773985456632</c:v>
                </c:pt>
                <c:pt idx="45">
                  <c:v>344.5110082340762</c:v>
                </c:pt>
                <c:pt idx="46">
                  <c:v>344.5110082340762</c:v>
                </c:pt>
                <c:pt idx="47">
                  <c:v>344.5110082340762</c:v>
                </c:pt>
                <c:pt idx="48">
                  <c:v>347.20811416501192</c:v>
                </c:pt>
                <c:pt idx="49">
                  <c:v>347.20811416501192</c:v>
                </c:pt>
                <c:pt idx="50">
                  <c:v>347.20811416501192</c:v>
                </c:pt>
                <c:pt idx="51">
                  <c:v>351.97990081347109</c:v>
                </c:pt>
                <c:pt idx="52">
                  <c:v>351.97990081347109</c:v>
                </c:pt>
                <c:pt idx="53">
                  <c:v>351.97990081347109</c:v>
                </c:pt>
                <c:pt idx="54">
                  <c:v>362.74387607622458</c:v>
                </c:pt>
                <c:pt idx="55">
                  <c:v>362.74387607622458</c:v>
                </c:pt>
                <c:pt idx="56">
                  <c:v>362.74387607622458</c:v>
                </c:pt>
                <c:pt idx="57">
                  <c:v>412.17458143241231</c:v>
                </c:pt>
                <c:pt idx="58">
                  <c:v>412.17458143241231</c:v>
                </c:pt>
                <c:pt idx="59">
                  <c:v>412.17458143241231</c:v>
                </c:pt>
                <c:pt idx="60">
                  <c:v>418.20765349521372</c:v>
                </c:pt>
                <c:pt idx="61">
                  <c:v>418.20765349521372</c:v>
                </c:pt>
                <c:pt idx="62">
                  <c:v>418.20765349521372</c:v>
                </c:pt>
                <c:pt idx="63">
                  <c:v>426.84491904404712</c:v>
                </c:pt>
                <c:pt idx="64">
                  <c:v>426.84491904404712</c:v>
                </c:pt>
                <c:pt idx="65">
                  <c:v>426.84491904404712</c:v>
                </c:pt>
                <c:pt idx="66">
                  <c:v>433.02723707557169</c:v>
                </c:pt>
                <c:pt idx="67">
                  <c:v>433.02723707557169</c:v>
                </c:pt>
                <c:pt idx="68">
                  <c:v>433.02723707557169</c:v>
                </c:pt>
                <c:pt idx="69">
                  <c:v>485.18227798373852</c:v>
                </c:pt>
                <c:pt idx="70">
                  <c:v>485.18227798373852</c:v>
                </c:pt>
                <c:pt idx="71">
                  <c:v>485.18227798373852</c:v>
                </c:pt>
                <c:pt idx="72">
                  <c:v>491.99911258519904</c:v>
                </c:pt>
                <c:pt idx="73">
                  <c:v>491.99911258519904</c:v>
                </c:pt>
                <c:pt idx="74">
                  <c:v>491.99911258519904</c:v>
                </c:pt>
                <c:pt idx="75">
                  <c:v>502.49813703048397</c:v>
                </c:pt>
                <c:pt idx="76">
                  <c:v>502.49813703048397</c:v>
                </c:pt>
                <c:pt idx="77">
                  <c:v>502.49813703048397</c:v>
                </c:pt>
                <c:pt idx="78">
                  <c:v>509.86008054291278</c:v>
                </c:pt>
                <c:pt idx="79">
                  <c:v>509.86008054291278</c:v>
                </c:pt>
                <c:pt idx="80">
                  <c:v>509.86008054291278</c:v>
                </c:pt>
                <c:pt idx="81">
                  <c:v>513.13420371093787</c:v>
                </c:pt>
                <c:pt idx="82">
                  <c:v>513.13420371093787</c:v>
                </c:pt>
                <c:pt idx="83">
                  <c:v>513.13420371093787</c:v>
                </c:pt>
                <c:pt idx="84">
                  <c:v>521.22875417128171</c:v>
                </c:pt>
                <c:pt idx="85">
                  <c:v>521.22875417128171</c:v>
                </c:pt>
                <c:pt idx="86">
                  <c:v>521.22875417128171</c:v>
                </c:pt>
                <c:pt idx="87">
                  <c:v>532.91717002790494</c:v>
                </c:pt>
                <c:pt idx="88">
                  <c:v>530.34332140948072</c:v>
                </c:pt>
                <c:pt idx="89">
                  <c:v>530.34332140948072</c:v>
                </c:pt>
                <c:pt idx="90">
                  <c:v>541.93441227403468</c:v>
                </c:pt>
                <c:pt idx="91">
                  <c:v>541.93441227403468</c:v>
                </c:pt>
                <c:pt idx="92">
                  <c:v>541.93441227403468</c:v>
                </c:pt>
                <c:pt idx="93">
                  <c:v>564.35541639781468</c:v>
                </c:pt>
                <c:pt idx="94">
                  <c:v>564.35541639781468</c:v>
                </c:pt>
                <c:pt idx="95">
                  <c:v>564.35541639781468</c:v>
                </c:pt>
                <c:pt idx="96">
                  <c:v>576.15298041035169</c:v>
                </c:pt>
                <c:pt idx="97">
                  <c:v>576.15298041035169</c:v>
                </c:pt>
                <c:pt idx="98">
                  <c:v>576.15298041035169</c:v>
                </c:pt>
                <c:pt idx="99">
                  <c:v>592.93516432792103</c:v>
                </c:pt>
                <c:pt idx="100">
                  <c:v>592.93516432792103</c:v>
                </c:pt>
                <c:pt idx="101">
                  <c:v>592.93516432792103</c:v>
                </c:pt>
                <c:pt idx="102">
                  <c:v>604.87079084743027</c:v>
                </c:pt>
                <c:pt idx="103">
                  <c:v>604.87079084743027</c:v>
                </c:pt>
                <c:pt idx="104">
                  <c:v>604.87079084743027</c:v>
                </c:pt>
                <c:pt idx="105">
                  <c:v>609.26945699697001</c:v>
                </c:pt>
                <c:pt idx="106">
                  <c:v>609.26945699697001</c:v>
                </c:pt>
                <c:pt idx="107">
                  <c:v>609.26945699697001</c:v>
                </c:pt>
                <c:pt idx="108">
                  <c:v>622.01288708183483</c:v>
                </c:pt>
                <c:pt idx="109">
                  <c:v>622.01288708183483</c:v>
                </c:pt>
                <c:pt idx="110">
                  <c:v>622.01288708183483</c:v>
                </c:pt>
                <c:pt idx="111">
                  <c:v>639.75884669364336</c:v>
                </c:pt>
                <c:pt idx="112">
                  <c:v>639.75884669364336</c:v>
                </c:pt>
                <c:pt idx="113">
                  <c:v>639.75884669364336</c:v>
                </c:pt>
                <c:pt idx="114">
                  <c:v>653.18134630081067</c:v>
                </c:pt>
                <c:pt idx="115">
                  <c:v>653.18134630081067</c:v>
                </c:pt>
                <c:pt idx="116">
                  <c:v>653.18134630081067</c:v>
                </c:pt>
                <c:pt idx="117">
                  <c:v>741.04619471526394</c:v>
                </c:pt>
                <c:pt idx="118">
                  <c:v>741.04619471526394</c:v>
                </c:pt>
                <c:pt idx="119">
                  <c:v>741.04619471526394</c:v>
                </c:pt>
                <c:pt idx="120">
                  <c:v>756.5437023263728</c:v>
                </c:pt>
                <c:pt idx="121">
                  <c:v>756.5437023263728</c:v>
                </c:pt>
                <c:pt idx="122">
                  <c:v>756.5437023263728</c:v>
                </c:pt>
                <c:pt idx="123">
                  <c:v>778.12496014335829</c:v>
                </c:pt>
                <c:pt idx="124">
                  <c:v>778.12496014335829</c:v>
                </c:pt>
                <c:pt idx="125">
                  <c:v>778.12496014335829</c:v>
                </c:pt>
                <c:pt idx="126">
                  <c:v>794.44877709668117</c:v>
                </c:pt>
                <c:pt idx="127">
                  <c:v>794.44877709668117</c:v>
                </c:pt>
                <c:pt idx="128">
                  <c:v>794.44877709668117</c:v>
                </c:pt>
                <c:pt idx="129">
                  <c:v>798.85466402648217</c:v>
                </c:pt>
                <c:pt idx="130">
                  <c:v>798.85466402648217</c:v>
                </c:pt>
                <c:pt idx="131">
                  <c:v>798.85466402648217</c:v>
                </c:pt>
                <c:pt idx="132">
                  <c:v>798.85466402648217</c:v>
                </c:pt>
                <c:pt idx="133">
                  <c:v>798.85466402648217</c:v>
                </c:pt>
                <c:pt idx="134">
                  <c:v>798.85466402648217</c:v>
                </c:pt>
                <c:pt idx="135">
                  <c:v>840.59464546670233</c:v>
                </c:pt>
                <c:pt idx="136">
                  <c:v>840.59464546670233</c:v>
                </c:pt>
                <c:pt idx="137">
                  <c:v>840.59464546670233</c:v>
                </c:pt>
                <c:pt idx="138">
                  <c:v>905.57909448102919</c:v>
                </c:pt>
                <c:pt idx="139">
                  <c:v>905.57909448102919</c:v>
                </c:pt>
                <c:pt idx="140">
                  <c:v>905.57909448102919</c:v>
                </c:pt>
                <c:pt idx="141">
                  <c:v>907.24970957280743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08-439B-8AC9-77C9B07C5C53}"/>
            </c:ext>
          </c:extLst>
        </c:ser>
        <c:ser>
          <c:idx val="12"/>
          <c:order val="7"/>
          <c:tx>
            <c:v>Conical (=)</c:v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Path!$O$24:$O$165</c:f>
              <c:numCache>
                <c:formatCode>0.0</c:formatCode>
                <c:ptCount val="142"/>
                <c:pt idx="0">
                  <c:v>1.2541546914346694E-3</c:v>
                </c:pt>
                <c:pt idx="1">
                  <c:v>1.2541546914346694E-3</c:v>
                </c:pt>
                <c:pt idx="2">
                  <c:v>1.2541546914346694E-3</c:v>
                </c:pt>
                <c:pt idx="3">
                  <c:v>5.4023301165111309E-2</c:v>
                </c:pt>
                <c:pt idx="4">
                  <c:v>5.4023301165111309E-2</c:v>
                </c:pt>
                <c:pt idx="5">
                  <c:v>5.4023301165111309E-2</c:v>
                </c:pt>
                <c:pt idx="6">
                  <c:v>17.943403406248844</c:v>
                </c:pt>
                <c:pt idx="7">
                  <c:v>17.943403406248844</c:v>
                </c:pt>
                <c:pt idx="8">
                  <c:v>17.943403406248844</c:v>
                </c:pt>
                <c:pt idx="9">
                  <c:v>39.485675510394529</c:v>
                </c:pt>
                <c:pt idx="10">
                  <c:v>39.485675510394529</c:v>
                </c:pt>
                <c:pt idx="11">
                  <c:v>39.485675510394529</c:v>
                </c:pt>
                <c:pt idx="12">
                  <c:v>40.988113638086659</c:v>
                </c:pt>
                <c:pt idx="13">
                  <c:v>40.988113638086659</c:v>
                </c:pt>
                <c:pt idx="14">
                  <c:v>40.988113638086659</c:v>
                </c:pt>
                <c:pt idx="15">
                  <c:v>43.215335054211842</c:v>
                </c:pt>
                <c:pt idx="16">
                  <c:v>43.215335054211842</c:v>
                </c:pt>
                <c:pt idx="17">
                  <c:v>43.215335054211842</c:v>
                </c:pt>
                <c:pt idx="18">
                  <c:v>44.665364740744536</c:v>
                </c:pt>
                <c:pt idx="19">
                  <c:v>44.665364740744536</c:v>
                </c:pt>
                <c:pt idx="20">
                  <c:v>44.665364740744536</c:v>
                </c:pt>
                <c:pt idx="21">
                  <c:v>46.549688331419766</c:v>
                </c:pt>
                <c:pt idx="22">
                  <c:v>46.549688331419766</c:v>
                </c:pt>
                <c:pt idx="23">
                  <c:v>46.549688331419766</c:v>
                </c:pt>
                <c:pt idx="24">
                  <c:v>112.11059397271197</c:v>
                </c:pt>
                <c:pt idx="25">
                  <c:v>112.11059397271197</c:v>
                </c:pt>
                <c:pt idx="26">
                  <c:v>112.11059397271197</c:v>
                </c:pt>
                <c:pt idx="27">
                  <c:v>114.5951147102783</c:v>
                </c:pt>
                <c:pt idx="28">
                  <c:v>114.5951147102783</c:v>
                </c:pt>
                <c:pt idx="29">
                  <c:v>114.5951147102783</c:v>
                </c:pt>
                <c:pt idx="30">
                  <c:v>118.07850879064127</c:v>
                </c:pt>
                <c:pt idx="31">
                  <c:v>118.07850879064127</c:v>
                </c:pt>
                <c:pt idx="32">
                  <c:v>118.07850879064127</c:v>
                </c:pt>
                <c:pt idx="33">
                  <c:v>120.64088552018306</c:v>
                </c:pt>
                <c:pt idx="34">
                  <c:v>120.64088552018306</c:v>
                </c:pt>
                <c:pt idx="35">
                  <c:v>120.64088552018306</c:v>
                </c:pt>
                <c:pt idx="36">
                  <c:v>170.84676616081998</c:v>
                </c:pt>
                <c:pt idx="37">
                  <c:v>170.84676616081998</c:v>
                </c:pt>
                <c:pt idx="38">
                  <c:v>170.84676616081998</c:v>
                </c:pt>
                <c:pt idx="39">
                  <c:v>174.05562754046974</c:v>
                </c:pt>
                <c:pt idx="40">
                  <c:v>174.05562754046974</c:v>
                </c:pt>
                <c:pt idx="41">
                  <c:v>174.05562754046974</c:v>
                </c:pt>
                <c:pt idx="42">
                  <c:v>178.54473745716049</c:v>
                </c:pt>
                <c:pt idx="43">
                  <c:v>178.54473745716049</c:v>
                </c:pt>
                <c:pt idx="44">
                  <c:v>178.54473745716049</c:v>
                </c:pt>
                <c:pt idx="45">
                  <c:v>181.83941181901429</c:v>
                </c:pt>
                <c:pt idx="46">
                  <c:v>181.83941181901429</c:v>
                </c:pt>
                <c:pt idx="47">
                  <c:v>181.83941181901429</c:v>
                </c:pt>
                <c:pt idx="48">
                  <c:v>183.73887512496501</c:v>
                </c:pt>
                <c:pt idx="49">
                  <c:v>183.73887512496501</c:v>
                </c:pt>
                <c:pt idx="50">
                  <c:v>183.73887512496501</c:v>
                </c:pt>
                <c:pt idx="51">
                  <c:v>187.08146834809034</c:v>
                </c:pt>
                <c:pt idx="52">
                  <c:v>187.08146834809034</c:v>
                </c:pt>
                <c:pt idx="53">
                  <c:v>187.08146834809034</c:v>
                </c:pt>
                <c:pt idx="54">
                  <c:v>194.53930487804482</c:v>
                </c:pt>
                <c:pt idx="55">
                  <c:v>194.53930487804482</c:v>
                </c:pt>
                <c:pt idx="56">
                  <c:v>194.53930487804482</c:v>
                </c:pt>
                <c:pt idx="57">
                  <c:v>227.44620723451311</c:v>
                </c:pt>
                <c:pt idx="58">
                  <c:v>227.44620723451311</c:v>
                </c:pt>
                <c:pt idx="59">
                  <c:v>227.44620723451311</c:v>
                </c:pt>
                <c:pt idx="60">
                  <c:v>231.32413150301491</c:v>
                </c:pt>
                <c:pt idx="61">
                  <c:v>231.32413150301491</c:v>
                </c:pt>
                <c:pt idx="62">
                  <c:v>231.32413150301491</c:v>
                </c:pt>
                <c:pt idx="63">
                  <c:v>236.827607150864</c:v>
                </c:pt>
                <c:pt idx="64">
                  <c:v>236.827607150864</c:v>
                </c:pt>
                <c:pt idx="65">
                  <c:v>236.827607150864</c:v>
                </c:pt>
                <c:pt idx="66">
                  <c:v>240.73272527637991</c:v>
                </c:pt>
                <c:pt idx="67">
                  <c:v>240.73272527637991</c:v>
                </c:pt>
                <c:pt idx="68">
                  <c:v>240.73272527637991</c:v>
                </c:pt>
                <c:pt idx="69">
                  <c:v>272.62589802477845</c:v>
                </c:pt>
                <c:pt idx="70">
                  <c:v>272.62589802477845</c:v>
                </c:pt>
                <c:pt idx="71">
                  <c:v>272.62589802477845</c:v>
                </c:pt>
                <c:pt idx="72">
                  <c:v>276.66509260115197</c:v>
                </c:pt>
                <c:pt idx="73">
                  <c:v>276.66509260115197</c:v>
                </c:pt>
                <c:pt idx="74">
                  <c:v>276.66509260115197</c:v>
                </c:pt>
                <c:pt idx="75">
                  <c:v>282.83175501432817</c:v>
                </c:pt>
                <c:pt idx="76">
                  <c:v>282.83175501432817</c:v>
                </c:pt>
                <c:pt idx="77">
                  <c:v>282.83175501432817</c:v>
                </c:pt>
                <c:pt idx="78">
                  <c:v>287.11748904164142</c:v>
                </c:pt>
                <c:pt idx="79">
                  <c:v>287.11748904164142</c:v>
                </c:pt>
                <c:pt idx="80">
                  <c:v>287.11748904164142</c:v>
                </c:pt>
                <c:pt idx="81">
                  <c:v>289.01356588901376</c:v>
                </c:pt>
                <c:pt idx="82">
                  <c:v>289.01356588901376</c:v>
                </c:pt>
                <c:pt idx="83">
                  <c:v>289.01356588901376</c:v>
                </c:pt>
                <c:pt idx="84">
                  <c:v>293.67539714584416</c:v>
                </c:pt>
                <c:pt idx="85">
                  <c:v>293.67539714584416</c:v>
                </c:pt>
                <c:pt idx="86">
                  <c:v>293.67539714584416</c:v>
                </c:pt>
                <c:pt idx="87">
                  <c:v>300.34360198138137</c:v>
                </c:pt>
                <c:pt idx="88">
                  <c:v>300.34360198138137</c:v>
                </c:pt>
                <c:pt idx="89">
                  <c:v>300.34360198138137</c:v>
                </c:pt>
                <c:pt idx="90">
                  <c:v>305.33805018479768</c:v>
                </c:pt>
                <c:pt idx="91">
                  <c:v>305.33805018479768</c:v>
                </c:pt>
                <c:pt idx="92">
                  <c:v>305.33805018479768</c:v>
                </c:pt>
                <c:pt idx="93">
                  <c:v>314.99896519903882</c:v>
                </c:pt>
                <c:pt idx="94">
                  <c:v>314.99896519903882</c:v>
                </c:pt>
                <c:pt idx="95">
                  <c:v>314.99896519903882</c:v>
                </c:pt>
                <c:pt idx="96">
                  <c:v>320.08237995918807</c:v>
                </c:pt>
                <c:pt idx="97">
                  <c:v>320.08237995918807</c:v>
                </c:pt>
                <c:pt idx="98">
                  <c:v>320.08237995918807</c:v>
                </c:pt>
                <c:pt idx="99">
                  <c:v>327.31360170491905</c:v>
                </c:pt>
                <c:pt idx="100">
                  <c:v>327.31360170491905</c:v>
                </c:pt>
                <c:pt idx="101">
                  <c:v>327.31360170491905</c:v>
                </c:pt>
                <c:pt idx="102">
                  <c:v>332.45650577871135</c:v>
                </c:pt>
                <c:pt idx="103">
                  <c:v>332.45650577871135</c:v>
                </c:pt>
                <c:pt idx="104">
                  <c:v>332.45650577871135</c:v>
                </c:pt>
                <c:pt idx="105">
                  <c:v>334.35183301794285</c:v>
                </c:pt>
                <c:pt idx="106">
                  <c:v>334.35183301794285</c:v>
                </c:pt>
                <c:pt idx="107">
                  <c:v>334.35183301794285</c:v>
                </c:pt>
                <c:pt idx="108">
                  <c:v>339.84280899565243</c:v>
                </c:pt>
                <c:pt idx="109">
                  <c:v>339.84280899565243</c:v>
                </c:pt>
                <c:pt idx="110">
                  <c:v>339.84280899565243</c:v>
                </c:pt>
                <c:pt idx="111">
                  <c:v>347.48930897885367</c:v>
                </c:pt>
                <c:pt idx="112">
                  <c:v>347.48930897885367</c:v>
                </c:pt>
                <c:pt idx="113">
                  <c:v>347.48930897885367</c:v>
                </c:pt>
                <c:pt idx="114">
                  <c:v>353.27288705892704</c:v>
                </c:pt>
                <c:pt idx="115">
                  <c:v>353.27288705892704</c:v>
                </c:pt>
                <c:pt idx="116">
                  <c:v>353.27288705892704</c:v>
                </c:pt>
                <c:pt idx="117">
                  <c:v>391.13269157905142</c:v>
                </c:pt>
                <c:pt idx="118">
                  <c:v>391.13269157905142</c:v>
                </c:pt>
                <c:pt idx="119">
                  <c:v>391.13269157905142</c:v>
                </c:pt>
                <c:pt idx="120">
                  <c:v>397.81036324517828</c:v>
                </c:pt>
                <c:pt idx="121">
                  <c:v>397.81036324517828</c:v>
                </c:pt>
                <c:pt idx="122">
                  <c:v>397.81036324517828</c:v>
                </c:pt>
                <c:pt idx="123">
                  <c:v>407.10944264944067</c:v>
                </c:pt>
                <c:pt idx="124">
                  <c:v>407.10944264944067</c:v>
                </c:pt>
                <c:pt idx="125">
                  <c:v>407.10944264944067</c:v>
                </c:pt>
                <c:pt idx="126">
                  <c:v>414.14316011469992</c:v>
                </c:pt>
                <c:pt idx="127">
                  <c:v>414.14316011469992</c:v>
                </c:pt>
                <c:pt idx="128">
                  <c:v>414.14316011469992</c:v>
                </c:pt>
                <c:pt idx="129">
                  <c:v>416.04159869292658</c:v>
                </c:pt>
                <c:pt idx="130">
                  <c:v>416.04159869292658</c:v>
                </c:pt>
                <c:pt idx="131">
                  <c:v>416.04159869292658</c:v>
                </c:pt>
                <c:pt idx="132">
                  <c:v>416.04159869292658</c:v>
                </c:pt>
                <c:pt idx="133">
                  <c:v>416.04159869292658</c:v>
                </c:pt>
                <c:pt idx="134">
                  <c:v>416.04159869292658</c:v>
                </c:pt>
                <c:pt idx="135">
                  <c:v>434.02680627612671</c:v>
                </c:pt>
                <c:pt idx="136">
                  <c:v>434.02680627612671</c:v>
                </c:pt>
                <c:pt idx="137">
                  <c:v>434.02680627612671</c:v>
                </c:pt>
                <c:pt idx="138">
                  <c:v>462.02774841541464</c:v>
                </c:pt>
                <c:pt idx="139">
                  <c:v>462.02774841541464</c:v>
                </c:pt>
                <c:pt idx="140">
                  <c:v>462.02774841541464</c:v>
                </c:pt>
                <c:pt idx="141">
                  <c:v>462.7475944282906</c:v>
                </c:pt>
              </c:numCache>
            </c:numRef>
          </c:xVal>
          <c:yVal>
            <c:numRef>
              <c:f>Path!$AC$24:$AC$165</c:f>
              <c:numCache>
                <c:formatCode>0</c:formatCode>
                <c:ptCount val="142"/>
                <c:pt idx="0">
                  <c:v>-127.01036480227398</c:v>
                </c:pt>
                <c:pt idx="1">
                  <c:v>-127.01036480227398</c:v>
                </c:pt>
                <c:pt idx="2">
                  <c:v>-127.01036480227398</c:v>
                </c:pt>
                <c:pt idx="3">
                  <c:v>-127.08207311951959</c:v>
                </c:pt>
                <c:pt idx="4">
                  <c:v>-127.08207311951959</c:v>
                </c:pt>
                <c:pt idx="5">
                  <c:v>-127.08207311951959</c:v>
                </c:pt>
                <c:pt idx="6">
                  <c:v>-151.39206161900674</c:v>
                </c:pt>
                <c:pt idx="7">
                  <c:v>-151.39206161900674</c:v>
                </c:pt>
                <c:pt idx="8">
                  <c:v>-151.39206161900674</c:v>
                </c:pt>
                <c:pt idx="9">
                  <c:v>-172.30608917079644</c:v>
                </c:pt>
                <c:pt idx="10">
                  <c:v>-172.30608917079644</c:v>
                </c:pt>
                <c:pt idx="11">
                  <c:v>-172.30608917079644</c:v>
                </c:pt>
                <c:pt idx="12">
                  <c:v>-173.81517080095477</c:v>
                </c:pt>
                <c:pt idx="13">
                  <c:v>-173.81517080095477</c:v>
                </c:pt>
                <c:pt idx="14">
                  <c:v>-173.81517080095477</c:v>
                </c:pt>
                <c:pt idx="15">
                  <c:v>-176.06434679910456</c:v>
                </c:pt>
                <c:pt idx="16">
                  <c:v>-176.06434679910456</c:v>
                </c:pt>
                <c:pt idx="17">
                  <c:v>-176.06434679910456</c:v>
                </c:pt>
                <c:pt idx="18">
                  <c:v>-177.53644097662803</c:v>
                </c:pt>
                <c:pt idx="19">
                  <c:v>-177.53644097662803</c:v>
                </c:pt>
                <c:pt idx="20">
                  <c:v>-177.53644097662803</c:v>
                </c:pt>
                <c:pt idx="21">
                  <c:v>-179.45859431376172</c:v>
                </c:pt>
                <c:pt idx="22">
                  <c:v>-179.45859431376172</c:v>
                </c:pt>
                <c:pt idx="23">
                  <c:v>-179.45859431376172</c:v>
                </c:pt>
                <c:pt idx="24">
                  <c:v>-252.77995097524141</c:v>
                </c:pt>
                <c:pt idx="25">
                  <c:v>-252.77995097524141</c:v>
                </c:pt>
                <c:pt idx="26">
                  <c:v>-252.77995097524141</c:v>
                </c:pt>
                <c:pt idx="27">
                  <c:v>-255.80495159316354</c:v>
                </c:pt>
                <c:pt idx="28">
                  <c:v>-255.80495159316354</c:v>
                </c:pt>
                <c:pt idx="29">
                  <c:v>-255.80495159316354</c:v>
                </c:pt>
                <c:pt idx="30">
                  <c:v>-260.07641646690706</c:v>
                </c:pt>
                <c:pt idx="31">
                  <c:v>-260.07641646690706</c:v>
                </c:pt>
                <c:pt idx="32">
                  <c:v>-260.07641646690706</c:v>
                </c:pt>
                <c:pt idx="33">
                  <c:v>-263.24107350569352</c:v>
                </c:pt>
                <c:pt idx="34">
                  <c:v>-263.24107350569352</c:v>
                </c:pt>
                <c:pt idx="35">
                  <c:v>-263.24107350569352</c:v>
                </c:pt>
                <c:pt idx="36">
                  <c:v>-329.1087541946697</c:v>
                </c:pt>
                <c:pt idx="37">
                  <c:v>-329.1087541946697</c:v>
                </c:pt>
                <c:pt idx="38">
                  <c:v>-329.1087541946697</c:v>
                </c:pt>
                <c:pt idx="39">
                  <c:v>-333.5684222520419</c:v>
                </c:pt>
                <c:pt idx="40">
                  <c:v>-333.5684222520419</c:v>
                </c:pt>
                <c:pt idx="41">
                  <c:v>-333.5684222520419</c:v>
                </c:pt>
                <c:pt idx="42">
                  <c:v>-339.85773985456632</c:v>
                </c:pt>
                <c:pt idx="43">
                  <c:v>-339.85773985456632</c:v>
                </c:pt>
                <c:pt idx="44">
                  <c:v>-339.85773985456632</c:v>
                </c:pt>
                <c:pt idx="45">
                  <c:v>-344.5110082340762</c:v>
                </c:pt>
                <c:pt idx="46">
                  <c:v>-344.5110082340762</c:v>
                </c:pt>
                <c:pt idx="47">
                  <c:v>-344.5110082340762</c:v>
                </c:pt>
                <c:pt idx="48">
                  <c:v>-347.20811416501192</c:v>
                </c:pt>
                <c:pt idx="49">
                  <c:v>-347.20811416501192</c:v>
                </c:pt>
                <c:pt idx="50">
                  <c:v>-347.20811416501192</c:v>
                </c:pt>
                <c:pt idx="51">
                  <c:v>-351.97990081347109</c:v>
                </c:pt>
                <c:pt idx="52">
                  <c:v>-351.97990081347109</c:v>
                </c:pt>
                <c:pt idx="53">
                  <c:v>-351.97990081347109</c:v>
                </c:pt>
                <c:pt idx="54">
                  <c:v>-362.74387607622458</c:v>
                </c:pt>
                <c:pt idx="55">
                  <c:v>-362.74387607622458</c:v>
                </c:pt>
                <c:pt idx="56">
                  <c:v>-362.74387607622458</c:v>
                </c:pt>
                <c:pt idx="57">
                  <c:v>-412.17458143241231</c:v>
                </c:pt>
                <c:pt idx="58">
                  <c:v>-412.17458143241231</c:v>
                </c:pt>
                <c:pt idx="59">
                  <c:v>-412.17458143241231</c:v>
                </c:pt>
                <c:pt idx="60">
                  <c:v>-418.20765349521372</c:v>
                </c:pt>
                <c:pt idx="61">
                  <c:v>-418.20765349521372</c:v>
                </c:pt>
                <c:pt idx="62">
                  <c:v>-418.20765349521372</c:v>
                </c:pt>
                <c:pt idx="63">
                  <c:v>-426.84491904404712</c:v>
                </c:pt>
                <c:pt idx="64">
                  <c:v>-426.84491904404712</c:v>
                </c:pt>
                <c:pt idx="65">
                  <c:v>-426.84491904404712</c:v>
                </c:pt>
                <c:pt idx="66">
                  <c:v>-433.02723707557169</c:v>
                </c:pt>
                <c:pt idx="67">
                  <c:v>-433.02723707557169</c:v>
                </c:pt>
                <c:pt idx="68">
                  <c:v>-433.02723707557169</c:v>
                </c:pt>
                <c:pt idx="69">
                  <c:v>-485.18227798373852</c:v>
                </c:pt>
                <c:pt idx="70">
                  <c:v>-485.18227798373852</c:v>
                </c:pt>
                <c:pt idx="71">
                  <c:v>-485.18227798373852</c:v>
                </c:pt>
                <c:pt idx="72">
                  <c:v>-491.99911258519904</c:v>
                </c:pt>
                <c:pt idx="73">
                  <c:v>-491.99911258519904</c:v>
                </c:pt>
                <c:pt idx="74">
                  <c:v>-491.99911258519904</c:v>
                </c:pt>
                <c:pt idx="75">
                  <c:v>-502.49813703048397</c:v>
                </c:pt>
                <c:pt idx="76">
                  <c:v>-502.49813703048397</c:v>
                </c:pt>
                <c:pt idx="77">
                  <c:v>-502.49813703048397</c:v>
                </c:pt>
                <c:pt idx="78">
                  <c:v>-509.86008054291278</c:v>
                </c:pt>
                <c:pt idx="79">
                  <c:v>-509.86008054291278</c:v>
                </c:pt>
                <c:pt idx="80">
                  <c:v>-509.86008054291278</c:v>
                </c:pt>
                <c:pt idx="81">
                  <c:v>-513.13420371093787</c:v>
                </c:pt>
                <c:pt idx="82">
                  <c:v>-513.13420371093787</c:v>
                </c:pt>
                <c:pt idx="83">
                  <c:v>-513.13420371093787</c:v>
                </c:pt>
                <c:pt idx="84">
                  <c:v>-521.22875417128171</c:v>
                </c:pt>
                <c:pt idx="85">
                  <c:v>-521.22875417128171</c:v>
                </c:pt>
                <c:pt idx="86">
                  <c:v>-521.22875417128171</c:v>
                </c:pt>
                <c:pt idx="87">
                  <c:v>-532.91717002790494</c:v>
                </c:pt>
                <c:pt idx="88">
                  <c:v>-530.34332140948072</c:v>
                </c:pt>
                <c:pt idx="89">
                  <c:v>-530.34332140948072</c:v>
                </c:pt>
                <c:pt idx="90">
                  <c:v>-541.93441227403468</c:v>
                </c:pt>
                <c:pt idx="91">
                  <c:v>-541.93441227403468</c:v>
                </c:pt>
                <c:pt idx="92">
                  <c:v>-541.93441227403468</c:v>
                </c:pt>
                <c:pt idx="93">
                  <c:v>-564.35541639781468</c:v>
                </c:pt>
                <c:pt idx="94">
                  <c:v>-564.35541639781468</c:v>
                </c:pt>
                <c:pt idx="95">
                  <c:v>-564.35541639781468</c:v>
                </c:pt>
                <c:pt idx="96">
                  <c:v>-576.15298041035169</c:v>
                </c:pt>
                <c:pt idx="97">
                  <c:v>-576.15298041035169</c:v>
                </c:pt>
                <c:pt idx="98">
                  <c:v>-576.15298041035169</c:v>
                </c:pt>
                <c:pt idx="99">
                  <c:v>-592.93516432792103</c:v>
                </c:pt>
                <c:pt idx="100">
                  <c:v>-592.93516432792103</c:v>
                </c:pt>
                <c:pt idx="101">
                  <c:v>-592.93516432792103</c:v>
                </c:pt>
                <c:pt idx="102">
                  <c:v>-604.87079084743027</c:v>
                </c:pt>
                <c:pt idx="103">
                  <c:v>-604.87079084743027</c:v>
                </c:pt>
                <c:pt idx="104">
                  <c:v>-604.87079084743027</c:v>
                </c:pt>
                <c:pt idx="105">
                  <c:v>-609.26945699697001</c:v>
                </c:pt>
                <c:pt idx="106">
                  <c:v>-609.26945699697001</c:v>
                </c:pt>
                <c:pt idx="107">
                  <c:v>-609.26945699697001</c:v>
                </c:pt>
                <c:pt idx="108">
                  <c:v>-622.01288708183483</c:v>
                </c:pt>
                <c:pt idx="109">
                  <c:v>-622.01288708183483</c:v>
                </c:pt>
                <c:pt idx="110">
                  <c:v>-622.01288708183483</c:v>
                </c:pt>
                <c:pt idx="111">
                  <c:v>-639.75884669364336</c:v>
                </c:pt>
                <c:pt idx="112">
                  <c:v>-639.75884669364336</c:v>
                </c:pt>
                <c:pt idx="113">
                  <c:v>-639.75884669364336</c:v>
                </c:pt>
                <c:pt idx="114">
                  <c:v>-653.18134630081067</c:v>
                </c:pt>
                <c:pt idx="115">
                  <c:v>-653.18134630081067</c:v>
                </c:pt>
                <c:pt idx="116">
                  <c:v>-653.18134630081067</c:v>
                </c:pt>
                <c:pt idx="117">
                  <c:v>-741.04619471526394</c:v>
                </c:pt>
                <c:pt idx="118">
                  <c:v>-741.04619471526394</c:v>
                </c:pt>
                <c:pt idx="119">
                  <c:v>-741.04619471526394</c:v>
                </c:pt>
                <c:pt idx="120">
                  <c:v>-756.5437023263728</c:v>
                </c:pt>
                <c:pt idx="121">
                  <c:v>-756.5437023263728</c:v>
                </c:pt>
                <c:pt idx="122">
                  <c:v>-756.5437023263728</c:v>
                </c:pt>
                <c:pt idx="123">
                  <c:v>-778.12496014335829</c:v>
                </c:pt>
                <c:pt idx="124">
                  <c:v>-778.12496014335829</c:v>
                </c:pt>
                <c:pt idx="125">
                  <c:v>-778.12496014335829</c:v>
                </c:pt>
                <c:pt idx="126">
                  <c:v>-794.44877709668117</c:v>
                </c:pt>
                <c:pt idx="127">
                  <c:v>-794.44877709668117</c:v>
                </c:pt>
                <c:pt idx="128">
                  <c:v>-794.44877709668117</c:v>
                </c:pt>
                <c:pt idx="129">
                  <c:v>-798.85466402648217</c:v>
                </c:pt>
                <c:pt idx="130">
                  <c:v>-798.85466402648217</c:v>
                </c:pt>
                <c:pt idx="131">
                  <c:v>-798.85466402648217</c:v>
                </c:pt>
                <c:pt idx="132">
                  <c:v>-798.85466402648217</c:v>
                </c:pt>
                <c:pt idx="133">
                  <c:v>-798.85466402648217</c:v>
                </c:pt>
                <c:pt idx="134">
                  <c:v>-798.85466402648217</c:v>
                </c:pt>
                <c:pt idx="135">
                  <c:v>-840.59464546670233</c:v>
                </c:pt>
                <c:pt idx="136">
                  <c:v>-840.59464546670233</c:v>
                </c:pt>
                <c:pt idx="137">
                  <c:v>-840.59464546670233</c:v>
                </c:pt>
                <c:pt idx="138">
                  <c:v>-905.57909448102919</c:v>
                </c:pt>
                <c:pt idx="139">
                  <c:v>-905.57909448102919</c:v>
                </c:pt>
                <c:pt idx="140">
                  <c:v>-905.57909448102919</c:v>
                </c:pt>
                <c:pt idx="141">
                  <c:v>-907.24970957280743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E08-439B-8AC9-77C9B07C5C53}"/>
            </c:ext>
          </c:extLst>
        </c:ser>
        <c:ser>
          <c:idx val="13"/>
          <c:order val="8"/>
          <c:tx>
            <c:v>Exponential (+)</c:v>
          </c:tx>
          <c:spPr>
            <a:ln w="127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Path!$O$24:$O$165</c:f>
              <c:numCache>
                <c:formatCode>0.0</c:formatCode>
                <c:ptCount val="142"/>
                <c:pt idx="0">
                  <c:v>1.2541546914346694E-3</c:v>
                </c:pt>
                <c:pt idx="1">
                  <c:v>1.2541546914346694E-3</c:v>
                </c:pt>
                <c:pt idx="2">
                  <c:v>1.2541546914346694E-3</c:v>
                </c:pt>
                <c:pt idx="3">
                  <c:v>5.4023301165111309E-2</c:v>
                </c:pt>
                <c:pt idx="4">
                  <c:v>5.4023301165111309E-2</c:v>
                </c:pt>
                <c:pt idx="5">
                  <c:v>5.4023301165111309E-2</c:v>
                </c:pt>
                <c:pt idx="6">
                  <c:v>17.943403406248844</c:v>
                </c:pt>
                <c:pt idx="7">
                  <c:v>17.943403406248844</c:v>
                </c:pt>
                <c:pt idx="8">
                  <c:v>17.943403406248844</c:v>
                </c:pt>
                <c:pt idx="9">
                  <c:v>39.485675510394529</c:v>
                </c:pt>
                <c:pt idx="10">
                  <c:v>39.485675510394529</c:v>
                </c:pt>
                <c:pt idx="11">
                  <c:v>39.485675510394529</c:v>
                </c:pt>
                <c:pt idx="12">
                  <c:v>40.988113638086659</c:v>
                </c:pt>
                <c:pt idx="13">
                  <c:v>40.988113638086659</c:v>
                </c:pt>
                <c:pt idx="14">
                  <c:v>40.988113638086659</c:v>
                </c:pt>
                <c:pt idx="15">
                  <c:v>43.215335054211842</c:v>
                </c:pt>
                <c:pt idx="16">
                  <c:v>43.215335054211842</c:v>
                </c:pt>
                <c:pt idx="17">
                  <c:v>43.215335054211842</c:v>
                </c:pt>
                <c:pt idx="18">
                  <c:v>44.665364740744536</c:v>
                </c:pt>
                <c:pt idx="19">
                  <c:v>44.665364740744536</c:v>
                </c:pt>
                <c:pt idx="20">
                  <c:v>44.665364740744536</c:v>
                </c:pt>
                <c:pt idx="21">
                  <c:v>46.549688331419766</c:v>
                </c:pt>
                <c:pt idx="22">
                  <c:v>46.549688331419766</c:v>
                </c:pt>
                <c:pt idx="23">
                  <c:v>46.549688331419766</c:v>
                </c:pt>
                <c:pt idx="24">
                  <c:v>112.11059397271197</c:v>
                </c:pt>
                <c:pt idx="25">
                  <c:v>112.11059397271197</c:v>
                </c:pt>
                <c:pt idx="26">
                  <c:v>112.11059397271197</c:v>
                </c:pt>
                <c:pt idx="27">
                  <c:v>114.5951147102783</c:v>
                </c:pt>
                <c:pt idx="28">
                  <c:v>114.5951147102783</c:v>
                </c:pt>
                <c:pt idx="29">
                  <c:v>114.5951147102783</c:v>
                </c:pt>
                <c:pt idx="30">
                  <c:v>118.07850879064127</c:v>
                </c:pt>
                <c:pt idx="31">
                  <c:v>118.07850879064127</c:v>
                </c:pt>
                <c:pt idx="32">
                  <c:v>118.07850879064127</c:v>
                </c:pt>
                <c:pt idx="33">
                  <c:v>120.64088552018306</c:v>
                </c:pt>
                <c:pt idx="34">
                  <c:v>120.64088552018306</c:v>
                </c:pt>
                <c:pt idx="35">
                  <c:v>120.64088552018306</c:v>
                </c:pt>
                <c:pt idx="36">
                  <c:v>170.84676616081998</c:v>
                </c:pt>
                <c:pt idx="37">
                  <c:v>170.84676616081998</c:v>
                </c:pt>
                <c:pt idx="38">
                  <c:v>170.84676616081998</c:v>
                </c:pt>
                <c:pt idx="39">
                  <c:v>174.05562754046974</c:v>
                </c:pt>
                <c:pt idx="40">
                  <c:v>174.05562754046974</c:v>
                </c:pt>
                <c:pt idx="41">
                  <c:v>174.05562754046974</c:v>
                </c:pt>
                <c:pt idx="42">
                  <c:v>178.54473745716049</c:v>
                </c:pt>
                <c:pt idx="43">
                  <c:v>178.54473745716049</c:v>
                </c:pt>
                <c:pt idx="44">
                  <c:v>178.54473745716049</c:v>
                </c:pt>
                <c:pt idx="45">
                  <c:v>181.83941181901429</c:v>
                </c:pt>
                <c:pt idx="46">
                  <c:v>181.83941181901429</c:v>
                </c:pt>
                <c:pt idx="47">
                  <c:v>181.83941181901429</c:v>
                </c:pt>
                <c:pt idx="48">
                  <c:v>183.73887512496501</c:v>
                </c:pt>
                <c:pt idx="49">
                  <c:v>183.73887512496501</c:v>
                </c:pt>
                <c:pt idx="50">
                  <c:v>183.73887512496501</c:v>
                </c:pt>
                <c:pt idx="51">
                  <c:v>187.08146834809034</c:v>
                </c:pt>
                <c:pt idx="52">
                  <c:v>187.08146834809034</c:v>
                </c:pt>
                <c:pt idx="53">
                  <c:v>187.08146834809034</c:v>
                </c:pt>
                <c:pt idx="54">
                  <c:v>194.53930487804482</c:v>
                </c:pt>
                <c:pt idx="55">
                  <c:v>194.53930487804482</c:v>
                </c:pt>
                <c:pt idx="56">
                  <c:v>194.53930487804482</c:v>
                </c:pt>
                <c:pt idx="57">
                  <c:v>227.44620723451311</c:v>
                </c:pt>
                <c:pt idx="58">
                  <c:v>227.44620723451311</c:v>
                </c:pt>
                <c:pt idx="59">
                  <c:v>227.44620723451311</c:v>
                </c:pt>
                <c:pt idx="60">
                  <c:v>231.32413150301491</c:v>
                </c:pt>
                <c:pt idx="61">
                  <c:v>231.32413150301491</c:v>
                </c:pt>
                <c:pt idx="62">
                  <c:v>231.32413150301491</c:v>
                </c:pt>
                <c:pt idx="63">
                  <c:v>236.827607150864</c:v>
                </c:pt>
                <c:pt idx="64">
                  <c:v>236.827607150864</c:v>
                </c:pt>
                <c:pt idx="65">
                  <c:v>236.827607150864</c:v>
                </c:pt>
                <c:pt idx="66">
                  <c:v>240.73272527637991</c:v>
                </c:pt>
                <c:pt idx="67">
                  <c:v>240.73272527637991</c:v>
                </c:pt>
                <c:pt idx="68">
                  <c:v>240.73272527637991</c:v>
                </c:pt>
                <c:pt idx="69">
                  <c:v>272.62589802477845</c:v>
                </c:pt>
                <c:pt idx="70">
                  <c:v>272.62589802477845</c:v>
                </c:pt>
                <c:pt idx="71">
                  <c:v>272.62589802477845</c:v>
                </c:pt>
                <c:pt idx="72">
                  <c:v>276.66509260115197</c:v>
                </c:pt>
                <c:pt idx="73">
                  <c:v>276.66509260115197</c:v>
                </c:pt>
                <c:pt idx="74">
                  <c:v>276.66509260115197</c:v>
                </c:pt>
                <c:pt idx="75">
                  <c:v>282.83175501432817</c:v>
                </c:pt>
                <c:pt idx="76">
                  <c:v>282.83175501432817</c:v>
                </c:pt>
                <c:pt idx="77">
                  <c:v>282.83175501432817</c:v>
                </c:pt>
                <c:pt idx="78">
                  <c:v>287.11748904164142</c:v>
                </c:pt>
                <c:pt idx="79">
                  <c:v>287.11748904164142</c:v>
                </c:pt>
                <c:pt idx="80">
                  <c:v>287.11748904164142</c:v>
                </c:pt>
                <c:pt idx="81">
                  <c:v>289.01356588901376</c:v>
                </c:pt>
                <c:pt idx="82">
                  <c:v>289.01356588901376</c:v>
                </c:pt>
                <c:pt idx="83">
                  <c:v>289.01356588901376</c:v>
                </c:pt>
                <c:pt idx="84">
                  <c:v>293.67539714584416</c:v>
                </c:pt>
                <c:pt idx="85">
                  <c:v>293.67539714584416</c:v>
                </c:pt>
                <c:pt idx="86">
                  <c:v>293.67539714584416</c:v>
                </c:pt>
                <c:pt idx="87">
                  <c:v>300.34360198138137</c:v>
                </c:pt>
                <c:pt idx="88">
                  <c:v>300.34360198138137</c:v>
                </c:pt>
                <c:pt idx="89">
                  <c:v>300.34360198138137</c:v>
                </c:pt>
                <c:pt idx="90">
                  <c:v>305.33805018479768</c:v>
                </c:pt>
                <c:pt idx="91">
                  <c:v>305.33805018479768</c:v>
                </c:pt>
                <c:pt idx="92">
                  <c:v>305.33805018479768</c:v>
                </c:pt>
                <c:pt idx="93">
                  <c:v>314.99896519903882</c:v>
                </c:pt>
                <c:pt idx="94">
                  <c:v>314.99896519903882</c:v>
                </c:pt>
                <c:pt idx="95">
                  <c:v>314.99896519903882</c:v>
                </c:pt>
                <c:pt idx="96">
                  <c:v>320.08237995918807</c:v>
                </c:pt>
                <c:pt idx="97">
                  <c:v>320.08237995918807</c:v>
                </c:pt>
                <c:pt idx="98">
                  <c:v>320.08237995918807</c:v>
                </c:pt>
                <c:pt idx="99">
                  <c:v>327.31360170491905</c:v>
                </c:pt>
                <c:pt idx="100">
                  <c:v>327.31360170491905</c:v>
                </c:pt>
                <c:pt idx="101">
                  <c:v>327.31360170491905</c:v>
                </c:pt>
                <c:pt idx="102">
                  <c:v>332.45650577871135</c:v>
                </c:pt>
                <c:pt idx="103">
                  <c:v>332.45650577871135</c:v>
                </c:pt>
                <c:pt idx="104">
                  <c:v>332.45650577871135</c:v>
                </c:pt>
                <c:pt idx="105">
                  <c:v>334.35183301794285</c:v>
                </c:pt>
                <c:pt idx="106">
                  <c:v>334.35183301794285</c:v>
                </c:pt>
                <c:pt idx="107">
                  <c:v>334.35183301794285</c:v>
                </c:pt>
                <c:pt idx="108">
                  <c:v>339.84280899565243</c:v>
                </c:pt>
                <c:pt idx="109">
                  <c:v>339.84280899565243</c:v>
                </c:pt>
                <c:pt idx="110">
                  <c:v>339.84280899565243</c:v>
                </c:pt>
                <c:pt idx="111">
                  <c:v>347.48930897885367</c:v>
                </c:pt>
                <c:pt idx="112">
                  <c:v>347.48930897885367</c:v>
                </c:pt>
                <c:pt idx="113">
                  <c:v>347.48930897885367</c:v>
                </c:pt>
                <c:pt idx="114">
                  <c:v>353.27288705892704</c:v>
                </c:pt>
                <c:pt idx="115">
                  <c:v>353.27288705892704</c:v>
                </c:pt>
                <c:pt idx="116">
                  <c:v>353.27288705892704</c:v>
                </c:pt>
                <c:pt idx="117">
                  <c:v>391.13269157905142</c:v>
                </c:pt>
                <c:pt idx="118">
                  <c:v>391.13269157905142</c:v>
                </c:pt>
                <c:pt idx="119">
                  <c:v>391.13269157905142</c:v>
                </c:pt>
                <c:pt idx="120">
                  <c:v>397.81036324517828</c:v>
                </c:pt>
                <c:pt idx="121">
                  <c:v>397.81036324517828</c:v>
                </c:pt>
                <c:pt idx="122">
                  <c:v>397.81036324517828</c:v>
                </c:pt>
                <c:pt idx="123">
                  <c:v>407.10944264944067</c:v>
                </c:pt>
                <c:pt idx="124">
                  <c:v>407.10944264944067</c:v>
                </c:pt>
                <c:pt idx="125">
                  <c:v>407.10944264944067</c:v>
                </c:pt>
                <c:pt idx="126">
                  <c:v>414.14316011469992</c:v>
                </c:pt>
                <c:pt idx="127">
                  <c:v>414.14316011469992</c:v>
                </c:pt>
                <c:pt idx="128">
                  <c:v>414.14316011469992</c:v>
                </c:pt>
                <c:pt idx="129">
                  <c:v>416.04159869292658</c:v>
                </c:pt>
                <c:pt idx="130">
                  <c:v>416.04159869292658</c:v>
                </c:pt>
                <c:pt idx="131">
                  <c:v>416.04159869292658</c:v>
                </c:pt>
                <c:pt idx="132">
                  <c:v>416.04159869292658</c:v>
                </c:pt>
                <c:pt idx="133">
                  <c:v>416.04159869292658</c:v>
                </c:pt>
                <c:pt idx="134">
                  <c:v>416.04159869292658</c:v>
                </c:pt>
                <c:pt idx="135">
                  <c:v>434.02680627612671</c:v>
                </c:pt>
                <c:pt idx="136">
                  <c:v>434.02680627612671</c:v>
                </c:pt>
                <c:pt idx="137">
                  <c:v>434.02680627612671</c:v>
                </c:pt>
                <c:pt idx="138">
                  <c:v>462.02774841541464</c:v>
                </c:pt>
                <c:pt idx="139">
                  <c:v>462.02774841541464</c:v>
                </c:pt>
                <c:pt idx="140">
                  <c:v>462.02774841541464</c:v>
                </c:pt>
                <c:pt idx="141">
                  <c:v>462.7475944282906</c:v>
                </c:pt>
              </c:numCache>
            </c:numRef>
          </c:xVal>
          <c:yVal>
            <c:numRef>
              <c:f>Path!$AE$24:$AE$165</c:f>
              <c:numCache>
                <c:formatCode>0</c:formatCode>
                <c:ptCount val="142"/>
                <c:pt idx="0">
                  <c:v>127.01036480227398</c:v>
                </c:pt>
                <c:pt idx="1">
                  <c:v>127.01036480227398</c:v>
                </c:pt>
                <c:pt idx="2">
                  <c:v>127.01036480227398</c:v>
                </c:pt>
                <c:pt idx="3">
                  <c:v>127.08207311951959</c:v>
                </c:pt>
                <c:pt idx="4">
                  <c:v>127.08207311951959</c:v>
                </c:pt>
                <c:pt idx="5">
                  <c:v>127.08207311951959</c:v>
                </c:pt>
                <c:pt idx="6">
                  <c:v>151.39206161900674</c:v>
                </c:pt>
                <c:pt idx="7">
                  <c:v>151.39206161900674</c:v>
                </c:pt>
                <c:pt idx="8">
                  <c:v>151.39206161900674</c:v>
                </c:pt>
                <c:pt idx="9">
                  <c:v>166.57799124181969</c:v>
                </c:pt>
                <c:pt idx="10">
                  <c:v>166.57799124181969</c:v>
                </c:pt>
                <c:pt idx="11">
                  <c:v>166.57799124181969</c:v>
                </c:pt>
                <c:pt idx="12">
                  <c:v>167.69225212804901</c:v>
                </c:pt>
                <c:pt idx="13">
                  <c:v>167.69225212804901</c:v>
                </c:pt>
                <c:pt idx="14">
                  <c:v>167.69225212804901</c:v>
                </c:pt>
                <c:pt idx="15">
                  <c:v>169.35776654046651</c:v>
                </c:pt>
                <c:pt idx="16">
                  <c:v>169.35776654046651</c:v>
                </c:pt>
                <c:pt idx="17">
                  <c:v>169.35776654046651</c:v>
                </c:pt>
                <c:pt idx="18">
                  <c:v>170.45097787648601</c:v>
                </c:pt>
                <c:pt idx="19">
                  <c:v>170.45097787648601</c:v>
                </c:pt>
                <c:pt idx="20">
                  <c:v>170.45097787648601</c:v>
                </c:pt>
                <c:pt idx="21">
                  <c:v>171.88216388372874</c:v>
                </c:pt>
                <c:pt idx="22">
                  <c:v>171.88216388372874</c:v>
                </c:pt>
                <c:pt idx="23">
                  <c:v>171.88216388372874</c:v>
                </c:pt>
                <c:pt idx="24">
                  <c:v>229.91879048990214</c:v>
                </c:pt>
                <c:pt idx="25">
                  <c:v>229.91879048990214</c:v>
                </c:pt>
                <c:pt idx="26">
                  <c:v>229.91879048990214</c:v>
                </c:pt>
                <c:pt idx="27">
                  <c:v>232.46760042394482</c:v>
                </c:pt>
                <c:pt idx="28">
                  <c:v>232.46760042394482</c:v>
                </c:pt>
                <c:pt idx="29">
                  <c:v>232.46760042394482</c:v>
                </c:pt>
                <c:pt idx="30">
                  <c:v>236.0887794726811</c:v>
                </c:pt>
                <c:pt idx="31">
                  <c:v>236.0887794726811</c:v>
                </c:pt>
                <c:pt idx="32">
                  <c:v>236.0887794726811</c:v>
                </c:pt>
                <c:pt idx="33">
                  <c:v>238.78846915279985</c:v>
                </c:pt>
                <c:pt idx="34">
                  <c:v>238.78846915279985</c:v>
                </c:pt>
                <c:pt idx="35">
                  <c:v>238.78846915279985</c:v>
                </c:pt>
                <c:pt idx="36">
                  <c:v>298.37748406969956</c:v>
                </c:pt>
                <c:pt idx="37">
                  <c:v>298.37748406969956</c:v>
                </c:pt>
                <c:pt idx="38">
                  <c:v>298.37748406969956</c:v>
                </c:pt>
                <c:pt idx="39">
                  <c:v>302.65642979159816</c:v>
                </c:pt>
                <c:pt idx="40">
                  <c:v>302.65642979159816</c:v>
                </c:pt>
                <c:pt idx="41">
                  <c:v>302.65642979159816</c:v>
                </c:pt>
                <c:pt idx="42">
                  <c:v>308.7457249366264</c:v>
                </c:pt>
                <c:pt idx="43">
                  <c:v>308.7457249366264</c:v>
                </c:pt>
                <c:pt idx="44">
                  <c:v>308.7457249366264</c:v>
                </c:pt>
                <c:pt idx="45">
                  <c:v>313.29263231408748</c:v>
                </c:pt>
                <c:pt idx="46">
                  <c:v>313.29263231408748</c:v>
                </c:pt>
                <c:pt idx="47">
                  <c:v>313.29263231408748</c:v>
                </c:pt>
                <c:pt idx="48">
                  <c:v>315.94440808050115</c:v>
                </c:pt>
                <c:pt idx="49">
                  <c:v>315.94440808050115</c:v>
                </c:pt>
                <c:pt idx="50">
                  <c:v>315.94440808050115</c:v>
                </c:pt>
                <c:pt idx="51">
                  <c:v>320.66550749655141</c:v>
                </c:pt>
                <c:pt idx="52">
                  <c:v>320.66550749655141</c:v>
                </c:pt>
                <c:pt idx="53">
                  <c:v>320.66550749655141</c:v>
                </c:pt>
                <c:pt idx="54">
                  <c:v>331.45485470191215</c:v>
                </c:pt>
                <c:pt idx="55">
                  <c:v>331.45485470191215</c:v>
                </c:pt>
                <c:pt idx="56">
                  <c:v>331.45485470191215</c:v>
                </c:pt>
                <c:pt idx="57">
                  <c:v>383.56581532983552</c:v>
                </c:pt>
                <c:pt idx="58">
                  <c:v>383.56581532983552</c:v>
                </c:pt>
                <c:pt idx="59">
                  <c:v>383.56581532983552</c:v>
                </c:pt>
                <c:pt idx="60">
                  <c:v>390.22322623092805</c:v>
                </c:pt>
                <c:pt idx="61">
                  <c:v>390.22322623092805</c:v>
                </c:pt>
                <c:pt idx="62">
                  <c:v>390.22322623092805</c:v>
                </c:pt>
                <c:pt idx="63">
                  <c:v>399.87013248138692</c:v>
                </c:pt>
                <c:pt idx="64">
                  <c:v>399.87013248138692</c:v>
                </c:pt>
                <c:pt idx="65">
                  <c:v>399.87013248138692</c:v>
                </c:pt>
                <c:pt idx="66">
                  <c:v>406.85962372329897</c:v>
                </c:pt>
                <c:pt idx="67">
                  <c:v>406.85962372329897</c:v>
                </c:pt>
                <c:pt idx="68">
                  <c:v>406.85962372329897</c:v>
                </c:pt>
                <c:pt idx="69">
                  <c:v>468.71248923771191</c:v>
                </c:pt>
                <c:pt idx="70">
                  <c:v>468.71248923771191</c:v>
                </c:pt>
                <c:pt idx="71">
                  <c:v>468.71248923771191</c:v>
                </c:pt>
                <c:pt idx="72">
                  <c:v>477.1891205405841</c:v>
                </c:pt>
                <c:pt idx="73">
                  <c:v>477.1891205405841</c:v>
                </c:pt>
                <c:pt idx="74">
                  <c:v>477.1891205405841</c:v>
                </c:pt>
                <c:pt idx="75">
                  <c:v>490.42705964207852</c:v>
                </c:pt>
                <c:pt idx="76">
                  <c:v>490.42705964207852</c:v>
                </c:pt>
                <c:pt idx="77">
                  <c:v>490.42705964207852</c:v>
                </c:pt>
                <c:pt idx="78">
                  <c:v>499.84291806534844</c:v>
                </c:pt>
                <c:pt idx="79">
                  <c:v>499.84291806534844</c:v>
                </c:pt>
                <c:pt idx="80">
                  <c:v>499.84291806534844</c:v>
                </c:pt>
                <c:pt idx="81">
                  <c:v>504.06612068413472</c:v>
                </c:pt>
                <c:pt idx="82">
                  <c:v>504.06612068413472</c:v>
                </c:pt>
                <c:pt idx="83">
                  <c:v>504.06612068413472</c:v>
                </c:pt>
                <c:pt idx="84">
                  <c:v>514.60193065814769</c:v>
                </c:pt>
                <c:pt idx="85">
                  <c:v>514.60193065814769</c:v>
                </c:pt>
                <c:pt idx="86">
                  <c:v>514.60193065814769</c:v>
                </c:pt>
                <c:pt idx="87">
                  <c:v>530.05609669796138</c:v>
                </c:pt>
                <c:pt idx="88">
                  <c:v>530.34332140948072</c:v>
                </c:pt>
                <c:pt idx="89">
                  <c:v>530.34332140948072</c:v>
                </c:pt>
                <c:pt idx="90">
                  <c:v>541.93441227403468</c:v>
                </c:pt>
                <c:pt idx="91">
                  <c:v>541.93441227403468</c:v>
                </c:pt>
                <c:pt idx="92">
                  <c:v>541.93441227403468</c:v>
                </c:pt>
                <c:pt idx="93">
                  <c:v>564.35541639781468</c:v>
                </c:pt>
                <c:pt idx="94">
                  <c:v>564.35541639781468</c:v>
                </c:pt>
                <c:pt idx="95">
                  <c:v>564.35541639781468</c:v>
                </c:pt>
                <c:pt idx="96">
                  <c:v>576.15298041035169</c:v>
                </c:pt>
                <c:pt idx="97">
                  <c:v>576.15298041035169</c:v>
                </c:pt>
                <c:pt idx="98">
                  <c:v>576.15298041035169</c:v>
                </c:pt>
                <c:pt idx="99">
                  <c:v>592.93516432792103</c:v>
                </c:pt>
                <c:pt idx="100">
                  <c:v>592.93516432792103</c:v>
                </c:pt>
                <c:pt idx="101">
                  <c:v>592.93516432792103</c:v>
                </c:pt>
                <c:pt idx="102">
                  <c:v>604.87079084743027</c:v>
                </c:pt>
                <c:pt idx="103">
                  <c:v>604.87079084743027</c:v>
                </c:pt>
                <c:pt idx="104">
                  <c:v>604.87079084743027</c:v>
                </c:pt>
                <c:pt idx="105">
                  <c:v>609.26945699697001</c:v>
                </c:pt>
                <c:pt idx="106">
                  <c:v>609.26945699697001</c:v>
                </c:pt>
                <c:pt idx="107">
                  <c:v>609.26945699697001</c:v>
                </c:pt>
                <c:pt idx="108">
                  <c:v>622.01288708183483</c:v>
                </c:pt>
                <c:pt idx="109">
                  <c:v>622.01288708183483</c:v>
                </c:pt>
                <c:pt idx="110">
                  <c:v>622.01288708183483</c:v>
                </c:pt>
                <c:pt idx="111">
                  <c:v>639.75884669364336</c:v>
                </c:pt>
                <c:pt idx="112">
                  <c:v>639.75884669364336</c:v>
                </c:pt>
                <c:pt idx="113">
                  <c:v>639.75884669364336</c:v>
                </c:pt>
                <c:pt idx="114">
                  <c:v>653.18134630081067</c:v>
                </c:pt>
                <c:pt idx="115">
                  <c:v>653.18134630081067</c:v>
                </c:pt>
                <c:pt idx="116">
                  <c:v>653.18134630081067</c:v>
                </c:pt>
                <c:pt idx="117">
                  <c:v>741.04619471526394</c:v>
                </c:pt>
                <c:pt idx="118">
                  <c:v>741.04619471526394</c:v>
                </c:pt>
                <c:pt idx="119">
                  <c:v>741.04619471526394</c:v>
                </c:pt>
                <c:pt idx="120">
                  <c:v>756.5437023263728</c:v>
                </c:pt>
                <c:pt idx="121">
                  <c:v>756.5437023263728</c:v>
                </c:pt>
                <c:pt idx="122">
                  <c:v>756.5437023263728</c:v>
                </c:pt>
                <c:pt idx="123">
                  <c:v>778.12496014335829</c:v>
                </c:pt>
                <c:pt idx="124">
                  <c:v>778.12496014335829</c:v>
                </c:pt>
                <c:pt idx="125">
                  <c:v>778.12496014335829</c:v>
                </c:pt>
                <c:pt idx="126">
                  <c:v>794.44877709668117</c:v>
                </c:pt>
                <c:pt idx="127">
                  <c:v>794.44877709668117</c:v>
                </c:pt>
                <c:pt idx="128">
                  <c:v>794.44877709668117</c:v>
                </c:pt>
                <c:pt idx="129">
                  <c:v>798.85466402648217</c:v>
                </c:pt>
                <c:pt idx="130">
                  <c:v>798.85466402648217</c:v>
                </c:pt>
                <c:pt idx="131">
                  <c:v>798.85466402648217</c:v>
                </c:pt>
                <c:pt idx="132">
                  <c:v>798.85466402648217</c:v>
                </c:pt>
                <c:pt idx="133">
                  <c:v>798.85466402648217</c:v>
                </c:pt>
                <c:pt idx="134">
                  <c:v>798.85466402648217</c:v>
                </c:pt>
                <c:pt idx="135">
                  <c:v>840.59464546670233</c:v>
                </c:pt>
                <c:pt idx="136">
                  <c:v>840.59464546670233</c:v>
                </c:pt>
                <c:pt idx="137">
                  <c:v>840.59464546670233</c:v>
                </c:pt>
                <c:pt idx="138">
                  <c:v>905.57909448102919</c:v>
                </c:pt>
                <c:pt idx="139">
                  <c:v>905.57909448102919</c:v>
                </c:pt>
                <c:pt idx="140">
                  <c:v>905.57909448102919</c:v>
                </c:pt>
                <c:pt idx="141">
                  <c:v>907.24970957280743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E08-439B-8AC9-77C9B07C5C53}"/>
            </c:ext>
          </c:extLst>
        </c:ser>
        <c:ser>
          <c:idx val="14"/>
          <c:order val="9"/>
          <c:tx>
            <c:v>Exponential (-)</c:v>
          </c:tx>
          <c:spPr>
            <a:ln w="127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Path!$O$24:$O$165</c:f>
              <c:numCache>
                <c:formatCode>0.0</c:formatCode>
                <c:ptCount val="142"/>
                <c:pt idx="0">
                  <c:v>1.2541546914346694E-3</c:v>
                </c:pt>
                <c:pt idx="1">
                  <c:v>1.2541546914346694E-3</c:v>
                </c:pt>
                <c:pt idx="2">
                  <c:v>1.2541546914346694E-3</c:v>
                </c:pt>
                <c:pt idx="3">
                  <c:v>5.4023301165111309E-2</c:v>
                </c:pt>
                <c:pt idx="4">
                  <c:v>5.4023301165111309E-2</c:v>
                </c:pt>
                <c:pt idx="5">
                  <c:v>5.4023301165111309E-2</c:v>
                </c:pt>
                <c:pt idx="6">
                  <c:v>17.943403406248844</c:v>
                </c:pt>
                <c:pt idx="7">
                  <c:v>17.943403406248844</c:v>
                </c:pt>
                <c:pt idx="8">
                  <c:v>17.943403406248844</c:v>
                </c:pt>
                <c:pt idx="9">
                  <c:v>39.485675510394529</c:v>
                </c:pt>
                <c:pt idx="10">
                  <c:v>39.485675510394529</c:v>
                </c:pt>
                <c:pt idx="11">
                  <c:v>39.485675510394529</c:v>
                </c:pt>
                <c:pt idx="12">
                  <c:v>40.988113638086659</c:v>
                </c:pt>
                <c:pt idx="13">
                  <c:v>40.988113638086659</c:v>
                </c:pt>
                <c:pt idx="14">
                  <c:v>40.988113638086659</c:v>
                </c:pt>
                <c:pt idx="15">
                  <c:v>43.215335054211842</c:v>
                </c:pt>
                <c:pt idx="16">
                  <c:v>43.215335054211842</c:v>
                </c:pt>
                <c:pt idx="17">
                  <c:v>43.215335054211842</c:v>
                </c:pt>
                <c:pt idx="18">
                  <c:v>44.665364740744536</c:v>
                </c:pt>
                <c:pt idx="19">
                  <c:v>44.665364740744536</c:v>
                </c:pt>
                <c:pt idx="20">
                  <c:v>44.665364740744536</c:v>
                </c:pt>
                <c:pt idx="21">
                  <c:v>46.549688331419766</c:v>
                </c:pt>
                <c:pt idx="22">
                  <c:v>46.549688331419766</c:v>
                </c:pt>
                <c:pt idx="23">
                  <c:v>46.549688331419766</c:v>
                </c:pt>
                <c:pt idx="24">
                  <c:v>112.11059397271197</c:v>
                </c:pt>
                <c:pt idx="25">
                  <c:v>112.11059397271197</c:v>
                </c:pt>
                <c:pt idx="26">
                  <c:v>112.11059397271197</c:v>
                </c:pt>
                <c:pt idx="27">
                  <c:v>114.5951147102783</c:v>
                </c:pt>
                <c:pt idx="28">
                  <c:v>114.5951147102783</c:v>
                </c:pt>
                <c:pt idx="29">
                  <c:v>114.5951147102783</c:v>
                </c:pt>
                <c:pt idx="30">
                  <c:v>118.07850879064127</c:v>
                </c:pt>
                <c:pt idx="31">
                  <c:v>118.07850879064127</c:v>
                </c:pt>
                <c:pt idx="32">
                  <c:v>118.07850879064127</c:v>
                </c:pt>
                <c:pt idx="33">
                  <c:v>120.64088552018306</c:v>
                </c:pt>
                <c:pt idx="34">
                  <c:v>120.64088552018306</c:v>
                </c:pt>
                <c:pt idx="35">
                  <c:v>120.64088552018306</c:v>
                </c:pt>
                <c:pt idx="36">
                  <c:v>170.84676616081998</c:v>
                </c:pt>
                <c:pt idx="37">
                  <c:v>170.84676616081998</c:v>
                </c:pt>
                <c:pt idx="38">
                  <c:v>170.84676616081998</c:v>
                </c:pt>
                <c:pt idx="39">
                  <c:v>174.05562754046974</c:v>
                </c:pt>
                <c:pt idx="40">
                  <c:v>174.05562754046974</c:v>
                </c:pt>
                <c:pt idx="41">
                  <c:v>174.05562754046974</c:v>
                </c:pt>
                <c:pt idx="42">
                  <c:v>178.54473745716049</c:v>
                </c:pt>
                <c:pt idx="43">
                  <c:v>178.54473745716049</c:v>
                </c:pt>
                <c:pt idx="44">
                  <c:v>178.54473745716049</c:v>
                </c:pt>
                <c:pt idx="45">
                  <c:v>181.83941181901429</c:v>
                </c:pt>
                <c:pt idx="46">
                  <c:v>181.83941181901429</c:v>
                </c:pt>
                <c:pt idx="47">
                  <c:v>181.83941181901429</c:v>
                </c:pt>
                <c:pt idx="48">
                  <c:v>183.73887512496501</c:v>
                </c:pt>
                <c:pt idx="49">
                  <c:v>183.73887512496501</c:v>
                </c:pt>
                <c:pt idx="50">
                  <c:v>183.73887512496501</c:v>
                </c:pt>
                <c:pt idx="51">
                  <c:v>187.08146834809034</c:v>
                </c:pt>
                <c:pt idx="52">
                  <c:v>187.08146834809034</c:v>
                </c:pt>
                <c:pt idx="53">
                  <c:v>187.08146834809034</c:v>
                </c:pt>
                <c:pt idx="54">
                  <c:v>194.53930487804482</c:v>
                </c:pt>
                <c:pt idx="55">
                  <c:v>194.53930487804482</c:v>
                </c:pt>
                <c:pt idx="56">
                  <c:v>194.53930487804482</c:v>
                </c:pt>
                <c:pt idx="57">
                  <c:v>227.44620723451311</c:v>
                </c:pt>
                <c:pt idx="58">
                  <c:v>227.44620723451311</c:v>
                </c:pt>
                <c:pt idx="59">
                  <c:v>227.44620723451311</c:v>
                </c:pt>
                <c:pt idx="60">
                  <c:v>231.32413150301491</c:v>
                </c:pt>
                <c:pt idx="61">
                  <c:v>231.32413150301491</c:v>
                </c:pt>
                <c:pt idx="62">
                  <c:v>231.32413150301491</c:v>
                </c:pt>
                <c:pt idx="63">
                  <c:v>236.827607150864</c:v>
                </c:pt>
                <c:pt idx="64">
                  <c:v>236.827607150864</c:v>
                </c:pt>
                <c:pt idx="65">
                  <c:v>236.827607150864</c:v>
                </c:pt>
                <c:pt idx="66">
                  <c:v>240.73272527637991</c:v>
                </c:pt>
                <c:pt idx="67">
                  <c:v>240.73272527637991</c:v>
                </c:pt>
                <c:pt idx="68">
                  <c:v>240.73272527637991</c:v>
                </c:pt>
                <c:pt idx="69">
                  <c:v>272.62589802477845</c:v>
                </c:pt>
                <c:pt idx="70">
                  <c:v>272.62589802477845</c:v>
                </c:pt>
                <c:pt idx="71">
                  <c:v>272.62589802477845</c:v>
                </c:pt>
                <c:pt idx="72">
                  <c:v>276.66509260115197</c:v>
                </c:pt>
                <c:pt idx="73">
                  <c:v>276.66509260115197</c:v>
                </c:pt>
                <c:pt idx="74">
                  <c:v>276.66509260115197</c:v>
                </c:pt>
                <c:pt idx="75">
                  <c:v>282.83175501432817</c:v>
                </c:pt>
                <c:pt idx="76">
                  <c:v>282.83175501432817</c:v>
                </c:pt>
                <c:pt idx="77">
                  <c:v>282.83175501432817</c:v>
                </c:pt>
                <c:pt idx="78">
                  <c:v>287.11748904164142</c:v>
                </c:pt>
                <c:pt idx="79">
                  <c:v>287.11748904164142</c:v>
                </c:pt>
                <c:pt idx="80">
                  <c:v>287.11748904164142</c:v>
                </c:pt>
                <c:pt idx="81">
                  <c:v>289.01356588901376</c:v>
                </c:pt>
                <c:pt idx="82">
                  <c:v>289.01356588901376</c:v>
                </c:pt>
                <c:pt idx="83">
                  <c:v>289.01356588901376</c:v>
                </c:pt>
                <c:pt idx="84">
                  <c:v>293.67539714584416</c:v>
                </c:pt>
                <c:pt idx="85">
                  <c:v>293.67539714584416</c:v>
                </c:pt>
                <c:pt idx="86">
                  <c:v>293.67539714584416</c:v>
                </c:pt>
                <c:pt idx="87">
                  <c:v>300.34360198138137</c:v>
                </c:pt>
                <c:pt idx="88">
                  <c:v>300.34360198138137</c:v>
                </c:pt>
                <c:pt idx="89">
                  <c:v>300.34360198138137</c:v>
                </c:pt>
                <c:pt idx="90">
                  <c:v>305.33805018479768</c:v>
                </c:pt>
                <c:pt idx="91">
                  <c:v>305.33805018479768</c:v>
                </c:pt>
                <c:pt idx="92">
                  <c:v>305.33805018479768</c:v>
                </c:pt>
                <c:pt idx="93">
                  <c:v>314.99896519903882</c:v>
                </c:pt>
                <c:pt idx="94">
                  <c:v>314.99896519903882</c:v>
                </c:pt>
                <c:pt idx="95">
                  <c:v>314.99896519903882</c:v>
                </c:pt>
                <c:pt idx="96">
                  <c:v>320.08237995918807</c:v>
                </c:pt>
                <c:pt idx="97">
                  <c:v>320.08237995918807</c:v>
                </c:pt>
                <c:pt idx="98">
                  <c:v>320.08237995918807</c:v>
                </c:pt>
                <c:pt idx="99">
                  <c:v>327.31360170491905</c:v>
                </c:pt>
                <c:pt idx="100">
                  <c:v>327.31360170491905</c:v>
                </c:pt>
                <c:pt idx="101">
                  <c:v>327.31360170491905</c:v>
                </c:pt>
                <c:pt idx="102">
                  <c:v>332.45650577871135</c:v>
                </c:pt>
                <c:pt idx="103">
                  <c:v>332.45650577871135</c:v>
                </c:pt>
                <c:pt idx="104">
                  <c:v>332.45650577871135</c:v>
                </c:pt>
                <c:pt idx="105">
                  <c:v>334.35183301794285</c:v>
                </c:pt>
                <c:pt idx="106">
                  <c:v>334.35183301794285</c:v>
                </c:pt>
                <c:pt idx="107">
                  <c:v>334.35183301794285</c:v>
                </c:pt>
                <c:pt idx="108">
                  <c:v>339.84280899565243</c:v>
                </c:pt>
                <c:pt idx="109">
                  <c:v>339.84280899565243</c:v>
                </c:pt>
                <c:pt idx="110">
                  <c:v>339.84280899565243</c:v>
                </c:pt>
                <c:pt idx="111">
                  <c:v>347.48930897885367</c:v>
                </c:pt>
                <c:pt idx="112">
                  <c:v>347.48930897885367</c:v>
                </c:pt>
                <c:pt idx="113">
                  <c:v>347.48930897885367</c:v>
                </c:pt>
                <c:pt idx="114">
                  <c:v>353.27288705892704</c:v>
                </c:pt>
                <c:pt idx="115">
                  <c:v>353.27288705892704</c:v>
                </c:pt>
                <c:pt idx="116">
                  <c:v>353.27288705892704</c:v>
                </c:pt>
                <c:pt idx="117">
                  <c:v>391.13269157905142</c:v>
                </c:pt>
                <c:pt idx="118">
                  <c:v>391.13269157905142</c:v>
                </c:pt>
                <c:pt idx="119">
                  <c:v>391.13269157905142</c:v>
                </c:pt>
                <c:pt idx="120">
                  <c:v>397.81036324517828</c:v>
                </c:pt>
                <c:pt idx="121">
                  <c:v>397.81036324517828</c:v>
                </c:pt>
                <c:pt idx="122">
                  <c:v>397.81036324517828</c:v>
                </c:pt>
                <c:pt idx="123">
                  <c:v>407.10944264944067</c:v>
                </c:pt>
                <c:pt idx="124">
                  <c:v>407.10944264944067</c:v>
                </c:pt>
                <c:pt idx="125">
                  <c:v>407.10944264944067</c:v>
                </c:pt>
                <c:pt idx="126">
                  <c:v>414.14316011469992</c:v>
                </c:pt>
                <c:pt idx="127">
                  <c:v>414.14316011469992</c:v>
                </c:pt>
                <c:pt idx="128">
                  <c:v>414.14316011469992</c:v>
                </c:pt>
                <c:pt idx="129">
                  <c:v>416.04159869292658</c:v>
                </c:pt>
                <c:pt idx="130">
                  <c:v>416.04159869292658</c:v>
                </c:pt>
                <c:pt idx="131">
                  <c:v>416.04159869292658</c:v>
                </c:pt>
                <c:pt idx="132">
                  <c:v>416.04159869292658</c:v>
                </c:pt>
                <c:pt idx="133">
                  <c:v>416.04159869292658</c:v>
                </c:pt>
                <c:pt idx="134">
                  <c:v>416.04159869292658</c:v>
                </c:pt>
                <c:pt idx="135">
                  <c:v>434.02680627612671</c:v>
                </c:pt>
                <c:pt idx="136">
                  <c:v>434.02680627612671</c:v>
                </c:pt>
                <c:pt idx="137">
                  <c:v>434.02680627612671</c:v>
                </c:pt>
                <c:pt idx="138">
                  <c:v>462.02774841541464</c:v>
                </c:pt>
                <c:pt idx="139">
                  <c:v>462.02774841541464</c:v>
                </c:pt>
                <c:pt idx="140">
                  <c:v>462.02774841541464</c:v>
                </c:pt>
                <c:pt idx="141">
                  <c:v>462.7475944282906</c:v>
                </c:pt>
              </c:numCache>
            </c:numRef>
          </c:xVal>
          <c:yVal>
            <c:numRef>
              <c:f>Path!$AF$24:$AF$165</c:f>
              <c:numCache>
                <c:formatCode>0</c:formatCode>
                <c:ptCount val="142"/>
                <c:pt idx="0">
                  <c:v>-127.01036480227398</c:v>
                </c:pt>
                <c:pt idx="1">
                  <c:v>-127.01036480227398</c:v>
                </c:pt>
                <c:pt idx="2">
                  <c:v>-127.01036480227398</c:v>
                </c:pt>
                <c:pt idx="3">
                  <c:v>-127.08207311951959</c:v>
                </c:pt>
                <c:pt idx="4">
                  <c:v>-127.08207311951959</c:v>
                </c:pt>
                <c:pt idx="5">
                  <c:v>-127.08207311951959</c:v>
                </c:pt>
                <c:pt idx="6">
                  <c:v>-151.39206161900674</c:v>
                </c:pt>
                <c:pt idx="7">
                  <c:v>-151.39206161900674</c:v>
                </c:pt>
                <c:pt idx="8">
                  <c:v>-151.39206161900674</c:v>
                </c:pt>
                <c:pt idx="9">
                  <c:v>-166.57799124181969</c:v>
                </c:pt>
                <c:pt idx="10">
                  <c:v>-166.57799124181969</c:v>
                </c:pt>
                <c:pt idx="11">
                  <c:v>-166.57799124181969</c:v>
                </c:pt>
                <c:pt idx="12">
                  <c:v>-167.69225212804901</c:v>
                </c:pt>
                <c:pt idx="13">
                  <c:v>-167.69225212804901</c:v>
                </c:pt>
                <c:pt idx="14">
                  <c:v>-167.69225212804901</c:v>
                </c:pt>
                <c:pt idx="15">
                  <c:v>-169.35776654046651</c:v>
                </c:pt>
                <c:pt idx="16">
                  <c:v>-169.35776654046651</c:v>
                </c:pt>
                <c:pt idx="17">
                  <c:v>-169.35776654046651</c:v>
                </c:pt>
                <c:pt idx="18">
                  <c:v>-170.45097787648601</c:v>
                </c:pt>
                <c:pt idx="19">
                  <c:v>-170.45097787648601</c:v>
                </c:pt>
                <c:pt idx="20">
                  <c:v>-170.45097787648601</c:v>
                </c:pt>
                <c:pt idx="21">
                  <c:v>-171.88216388372874</c:v>
                </c:pt>
                <c:pt idx="22">
                  <c:v>-171.88216388372874</c:v>
                </c:pt>
                <c:pt idx="23">
                  <c:v>-171.88216388372874</c:v>
                </c:pt>
                <c:pt idx="24">
                  <c:v>-229.91879048990214</c:v>
                </c:pt>
                <c:pt idx="25">
                  <c:v>-229.91879048990214</c:v>
                </c:pt>
                <c:pt idx="26">
                  <c:v>-229.91879048990214</c:v>
                </c:pt>
                <c:pt idx="27">
                  <c:v>-232.46760042394482</c:v>
                </c:pt>
                <c:pt idx="28">
                  <c:v>-232.46760042394482</c:v>
                </c:pt>
                <c:pt idx="29">
                  <c:v>-232.46760042394482</c:v>
                </c:pt>
                <c:pt idx="30">
                  <c:v>-236.0887794726811</c:v>
                </c:pt>
                <c:pt idx="31">
                  <c:v>-236.0887794726811</c:v>
                </c:pt>
                <c:pt idx="32">
                  <c:v>-236.0887794726811</c:v>
                </c:pt>
                <c:pt idx="33">
                  <c:v>-238.78846915279985</c:v>
                </c:pt>
                <c:pt idx="34">
                  <c:v>-238.78846915279985</c:v>
                </c:pt>
                <c:pt idx="35">
                  <c:v>-238.78846915279985</c:v>
                </c:pt>
                <c:pt idx="36">
                  <c:v>-298.37748406969956</c:v>
                </c:pt>
                <c:pt idx="37">
                  <c:v>-298.37748406969956</c:v>
                </c:pt>
                <c:pt idx="38">
                  <c:v>-298.37748406969956</c:v>
                </c:pt>
                <c:pt idx="39">
                  <c:v>-302.65642979159816</c:v>
                </c:pt>
                <c:pt idx="40">
                  <c:v>-302.65642979159816</c:v>
                </c:pt>
                <c:pt idx="41">
                  <c:v>-302.65642979159816</c:v>
                </c:pt>
                <c:pt idx="42">
                  <c:v>-308.7457249366264</c:v>
                </c:pt>
                <c:pt idx="43">
                  <c:v>-308.7457249366264</c:v>
                </c:pt>
                <c:pt idx="44">
                  <c:v>-308.7457249366264</c:v>
                </c:pt>
                <c:pt idx="45">
                  <c:v>-313.29263231408748</c:v>
                </c:pt>
                <c:pt idx="46">
                  <c:v>-313.29263231408748</c:v>
                </c:pt>
                <c:pt idx="47">
                  <c:v>-313.29263231408748</c:v>
                </c:pt>
                <c:pt idx="48">
                  <c:v>-315.94440808050115</c:v>
                </c:pt>
                <c:pt idx="49">
                  <c:v>-315.94440808050115</c:v>
                </c:pt>
                <c:pt idx="50">
                  <c:v>-315.94440808050115</c:v>
                </c:pt>
                <c:pt idx="51">
                  <c:v>-320.66550749655141</c:v>
                </c:pt>
                <c:pt idx="52">
                  <c:v>-320.66550749655141</c:v>
                </c:pt>
                <c:pt idx="53">
                  <c:v>-320.66550749655141</c:v>
                </c:pt>
                <c:pt idx="54">
                  <c:v>-331.45485470191215</c:v>
                </c:pt>
                <c:pt idx="55">
                  <c:v>-331.45485470191215</c:v>
                </c:pt>
                <c:pt idx="56">
                  <c:v>-331.45485470191215</c:v>
                </c:pt>
                <c:pt idx="57">
                  <c:v>-383.56581532983552</c:v>
                </c:pt>
                <c:pt idx="58">
                  <c:v>-383.56581532983552</c:v>
                </c:pt>
                <c:pt idx="59">
                  <c:v>-383.56581532983552</c:v>
                </c:pt>
                <c:pt idx="60">
                  <c:v>-390.22322623092805</c:v>
                </c:pt>
                <c:pt idx="61">
                  <c:v>-390.22322623092805</c:v>
                </c:pt>
                <c:pt idx="62">
                  <c:v>-390.22322623092805</c:v>
                </c:pt>
                <c:pt idx="63">
                  <c:v>-399.87013248138692</c:v>
                </c:pt>
                <c:pt idx="64">
                  <c:v>-399.87013248138692</c:v>
                </c:pt>
                <c:pt idx="65">
                  <c:v>-399.87013248138692</c:v>
                </c:pt>
                <c:pt idx="66">
                  <c:v>-406.85962372329897</c:v>
                </c:pt>
                <c:pt idx="67">
                  <c:v>-406.85962372329897</c:v>
                </c:pt>
                <c:pt idx="68">
                  <c:v>-406.85962372329897</c:v>
                </c:pt>
                <c:pt idx="69">
                  <c:v>-468.71248923771191</c:v>
                </c:pt>
                <c:pt idx="70">
                  <c:v>-468.71248923771191</c:v>
                </c:pt>
                <c:pt idx="71">
                  <c:v>-468.71248923771191</c:v>
                </c:pt>
                <c:pt idx="72">
                  <c:v>-477.1891205405841</c:v>
                </c:pt>
                <c:pt idx="73">
                  <c:v>-477.1891205405841</c:v>
                </c:pt>
                <c:pt idx="74">
                  <c:v>-477.1891205405841</c:v>
                </c:pt>
                <c:pt idx="75">
                  <c:v>-490.42705964207852</c:v>
                </c:pt>
                <c:pt idx="76">
                  <c:v>-490.42705964207852</c:v>
                </c:pt>
                <c:pt idx="77">
                  <c:v>-490.42705964207852</c:v>
                </c:pt>
                <c:pt idx="78">
                  <c:v>-499.84291806534844</c:v>
                </c:pt>
                <c:pt idx="79">
                  <c:v>-499.84291806534844</c:v>
                </c:pt>
                <c:pt idx="80">
                  <c:v>-499.84291806534844</c:v>
                </c:pt>
                <c:pt idx="81">
                  <c:v>-504.06612068413472</c:v>
                </c:pt>
                <c:pt idx="82">
                  <c:v>-504.06612068413472</c:v>
                </c:pt>
                <c:pt idx="83">
                  <c:v>-504.06612068413472</c:v>
                </c:pt>
                <c:pt idx="84">
                  <c:v>-514.60193065814769</c:v>
                </c:pt>
                <c:pt idx="85">
                  <c:v>-514.60193065814769</c:v>
                </c:pt>
                <c:pt idx="86">
                  <c:v>-514.60193065814769</c:v>
                </c:pt>
                <c:pt idx="87">
                  <c:v>-530.05609669796138</c:v>
                </c:pt>
                <c:pt idx="88">
                  <c:v>-530.34332140948072</c:v>
                </c:pt>
                <c:pt idx="89">
                  <c:v>-530.34332140948072</c:v>
                </c:pt>
                <c:pt idx="90">
                  <c:v>-541.93441227403468</c:v>
                </c:pt>
                <c:pt idx="91">
                  <c:v>-541.93441227403468</c:v>
                </c:pt>
                <c:pt idx="92">
                  <c:v>-541.93441227403468</c:v>
                </c:pt>
                <c:pt idx="93">
                  <c:v>-564.35541639781468</c:v>
                </c:pt>
                <c:pt idx="94">
                  <c:v>-564.35541639781468</c:v>
                </c:pt>
                <c:pt idx="95">
                  <c:v>-564.35541639781468</c:v>
                </c:pt>
                <c:pt idx="96">
                  <c:v>-576.15298041035169</c:v>
                </c:pt>
                <c:pt idx="97">
                  <c:v>-576.15298041035169</c:v>
                </c:pt>
                <c:pt idx="98">
                  <c:v>-576.15298041035169</c:v>
                </c:pt>
                <c:pt idx="99">
                  <c:v>-592.93516432792103</c:v>
                </c:pt>
                <c:pt idx="100">
                  <c:v>-592.93516432792103</c:v>
                </c:pt>
                <c:pt idx="101">
                  <c:v>-592.93516432792103</c:v>
                </c:pt>
                <c:pt idx="102">
                  <c:v>-604.87079084743027</c:v>
                </c:pt>
                <c:pt idx="103">
                  <c:v>-604.87079084743027</c:v>
                </c:pt>
                <c:pt idx="104">
                  <c:v>-604.87079084743027</c:v>
                </c:pt>
                <c:pt idx="105">
                  <c:v>-609.26945699697001</c:v>
                </c:pt>
                <c:pt idx="106">
                  <c:v>-609.26945699697001</c:v>
                </c:pt>
                <c:pt idx="107">
                  <c:v>-609.26945699697001</c:v>
                </c:pt>
                <c:pt idx="108">
                  <c:v>-622.01288708183483</c:v>
                </c:pt>
                <c:pt idx="109">
                  <c:v>-622.01288708183483</c:v>
                </c:pt>
                <c:pt idx="110">
                  <c:v>-622.01288708183483</c:v>
                </c:pt>
                <c:pt idx="111">
                  <c:v>-639.75884669364336</c:v>
                </c:pt>
                <c:pt idx="112">
                  <c:v>-639.75884669364336</c:v>
                </c:pt>
                <c:pt idx="113">
                  <c:v>-639.75884669364336</c:v>
                </c:pt>
                <c:pt idx="114">
                  <c:v>-653.18134630081067</c:v>
                </c:pt>
                <c:pt idx="115">
                  <c:v>-653.18134630081067</c:v>
                </c:pt>
                <c:pt idx="116">
                  <c:v>-653.18134630081067</c:v>
                </c:pt>
                <c:pt idx="117">
                  <c:v>-741.04619471526394</c:v>
                </c:pt>
                <c:pt idx="118">
                  <c:v>-741.04619471526394</c:v>
                </c:pt>
                <c:pt idx="119">
                  <c:v>-741.04619471526394</c:v>
                </c:pt>
                <c:pt idx="120">
                  <c:v>-756.5437023263728</c:v>
                </c:pt>
                <c:pt idx="121">
                  <c:v>-756.5437023263728</c:v>
                </c:pt>
                <c:pt idx="122">
                  <c:v>-756.5437023263728</c:v>
                </c:pt>
                <c:pt idx="123">
                  <c:v>-778.12496014335829</c:v>
                </c:pt>
                <c:pt idx="124">
                  <c:v>-778.12496014335829</c:v>
                </c:pt>
                <c:pt idx="125">
                  <c:v>-778.12496014335829</c:v>
                </c:pt>
                <c:pt idx="126">
                  <c:v>-794.44877709668117</c:v>
                </c:pt>
                <c:pt idx="127">
                  <c:v>-794.44877709668117</c:v>
                </c:pt>
                <c:pt idx="128">
                  <c:v>-794.44877709668117</c:v>
                </c:pt>
                <c:pt idx="129">
                  <c:v>-798.85466402648217</c:v>
                </c:pt>
                <c:pt idx="130">
                  <c:v>-798.85466402648217</c:v>
                </c:pt>
                <c:pt idx="131">
                  <c:v>-798.85466402648217</c:v>
                </c:pt>
                <c:pt idx="132">
                  <c:v>-798.85466402648217</c:v>
                </c:pt>
                <c:pt idx="133">
                  <c:v>-798.85466402648217</c:v>
                </c:pt>
                <c:pt idx="134">
                  <c:v>-798.85466402648217</c:v>
                </c:pt>
                <c:pt idx="135">
                  <c:v>-840.59464546670233</c:v>
                </c:pt>
                <c:pt idx="136">
                  <c:v>-840.59464546670233</c:v>
                </c:pt>
                <c:pt idx="137">
                  <c:v>-840.59464546670233</c:v>
                </c:pt>
                <c:pt idx="138">
                  <c:v>-905.57909448102919</c:v>
                </c:pt>
                <c:pt idx="139">
                  <c:v>-905.57909448102919</c:v>
                </c:pt>
                <c:pt idx="140">
                  <c:v>-905.57909448102919</c:v>
                </c:pt>
                <c:pt idx="141">
                  <c:v>-907.24970957280743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E08-439B-8AC9-77C9B07C5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932568"/>
        <c:axId val="166934920"/>
        <c:extLst/>
      </c:scatterChart>
      <c:valAx>
        <c:axId val="166932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Length</a:t>
                </a:r>
              </a:p>
            </c:rich>
          </c:tx>
          <c:layout>
            <c:manualLayout>
              <c:xMode val="edge"/>
              <c:yMode val="edge"/>
              <c:x val="0.49832214765100669"/>
              <c:y val="0.8991623873102818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934920"/>
        <c:crosses val="autoZero"/>
        <c:crossBetween val="midCat"/>
      </c:valAx>
      <c:valAx>
        <c:axId val="166934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Area</a:t>
                </a:r>
              </a:p>
            </c:rich>
          </c:tx>
          <c:layout>
            <c:manualLayout>
              <c:xMode val="edge"/>
              <c:yMode val="edge"/>
              <c:x val="2.6845637583892617E-2"/>
              <c:y val="0.450981779451481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93256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483494023179082E-2"/>
          <c:y val="1.8591753503009619E-2"/>
          <c:w val="0.90722255706828614"/>
          <c:h val="0.90141491198867374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Panels!$F$6:$F$95</c:f>
              <c:numCache>
                <c:formatCode>0.0</c:formatCode>
                <c:ptCount val="90"/>
                <c:pt idx="0">
                  <c:v>118.75</c:v>
                </c:pt>
                <c:pt idx="1">
                  <c:v>118.75</c:v>
                </c:pt>
                <c:pt idx="2">
                  <c:v>120.65</c:v>
                </c:pt>
                <c:pt idx="3">
                  <c:v>120.65</c:v>
                </c:pt>
                <c:pt idx="4">
                  <c:v>118.75</c:v>
                </c:pt>
                <c:pt idx="6">
                  <c:v>0</c:v>
                </c:pt>
                <c:pt idx="7">
                  <c:v>0</c:v>
                </c:pt>
                <c:pt idx="8">
                  <c:v>1.9</c:v>
                </c:pt>
                <c:pt idx="9">
                  <c:v>1.9</c:v>
                </c:pt>
                <c:pt idx="10">
                  <c:v>0</c:v>
                </c:pt>
                <c:pt idx="12">
                  <c:v>120.65</c:v>
                </c:pt>
                <c:pt idx="13">
                  <c:v>0</c:v>
                </c:pt>
                <c:pt idx="14">
                  <c:v>0</c:v>
                </c:pt>
                <c:pt idx="15">
                  <c:v>120.65</c:v>
                </c:pt>
                <c:pt idx="16">
                  <c:v>120.65</c:v>
                </c:pt>
                <c:pt idx="18">
                  <c:v>1.9</c:v>
                </c:pt>
                <c:pt idx="19">
                  <c:v>118.75</c:v>
                </c:pt>
                <c:pt idx="20">
                  <c:v>118.75</c:v>
                </c:pt>
                <c:pt idx="21">
                  <c:v>1.9</c:v>
                </c:pt>
                <c:pt idx="22">
                  <c:v>1.9</c:v>
                </c:pt>
                <c:pt idx="24">
                  <c:v>118.75</c:v>
                </c:pt>
                <c:pt idx="25">
                  <c:v>35.548065717529553</c:v>
                </c:pt>
                <c:pt idx="26">
                  <c:v>35.548065717529553</c:v>
                </c:pt>
                <c:pt idx="27">
                  <c:v>118.75</c:v>
                </c:pt>
                <c:pt idx="28">
                  <c:v>118.75</c:v>
                </c:pt>
                <c:pt idx="30">
                  <c:v>33.654298627389551</c:v>
                </c:pt>
                <c:pt idx="31">
                  <c:v>29.81285537892925</c:v>
                </c:pt>
                <c:pt idx="32">
                  <c:v>31.706622469069252</c:v>
                </c:pt>
                <c:pt idx="33">
                  <c:v>35.548065717529553</c:v>
                </c:pt>
                <c:pt idx="34">
                  <c:v>33.654298627389551</c:v>
                </c:pt>
                <c:pt idx="36">
                  <c:v>29.81285537892925</c:v>
                </c:pt>
                <c:pt idx="37">
                  <c:v>29.659082142302488</c:v>
                </c:pt>
                <c:pt idx="38">
                  <c:v>67.425725035915377</c:v>
                </c:pt>
                <c:pt idx="39">
                  <c:v>67.579498272542139</c:v>
                </c:pt>
                <c:pt idx="40">
                  <c:v>29.81285537892925</c:v>
                </c:pt>
                <c:pt idx="42">
                  <c:v>38.029786001071884</c:v>
                </c:pt>
                <c:pt idx="43">
                  <c:v>43.074485485083265</c:v>
                </c:pt>
                <c:pt idx="44">
                  <c:v>41.190161894408035</c:v>
                </c:pt>
                <c:pt idx="45">
                  <c:v>36.145462410396654</c:v>
                </c:pt>
                <c:pt idx="46">
                  <c:v>38.029786001071884</c:v>
                </c:pt>
                <c:pt idx="48">
                  <c:v>43.074485485083265</c:v>
                </c:pt>
                <c:pt idx="49">
                  <c:v>106.68201586430816</c:v>
                </c:pt>
                <c:pt idx="50">
                  <c:v>106.59175294260481</c:v>
                </c:pt>
                <c:pt idx="51">
                  <c:v>42.984222563379923</c:v>
                </c:pt>
                <c:pt idx="52">
                  <c:v>43.074485485083265</c:v>
                </c:pt>
                <c:pt idx="54">
                  <c:v>90.611643312677913</c:v>
                </c:pt>
                <c:pt idx="55">
                  <c:v>58.709464221163657</c:v>
                </c:pt>
                <c:pt idx="56">
                  <c:v>58.709464221163657</c:v>
                </c:pt>
                <c:pt idx="57">
                  <c:v>90.611643312677913</c:v>
                </c:pt>
                <c:pt idx="58">
                  <c:v>90.611643312677913</c:v>
                </c:pt>
                <c:pt idx="60">
                  <c:v>88.711643312677907</c:v>
                </c:pt>
                <c:pt idx="61">
                  <c:v>88.711643312677907</c:v>
                </c:pt>
                <c:pt idx="62">
                  <c:v>90.611643312677913</c:v>
                </c:pt>
                <c:pt idx="63">
                  <c:v>90.611643312677913</c:v>
                </c:pt>
                <c:pt idx="64">
                  <c:v>88.711643312677907</c:v>
                </c:pt>
                <c:pt idx="66">
                  <c:v>106.68201586430816</c:v>
                </c:pt>
                <c:pt idx="67">
                  <c:v>104.29487390892749</c:v>
                </c:pt>
                <c:pt idx="68">
                  <c:v>106.1927286465103</c:v>
                </c:pt>
                <c:pt idx="69">
                  <c:v>108.57987060189097</c:v>
                </c:pt>
                <c:pt idx="70">
                  <c:v>106.68201586430816</c:v>
                </c:pt>
              </c:numCache>
            </c:numRef>
          </c:xVal>
          <c:yVal>
            <c:numRef>
              <c:f>Panels!$G$6:$G$95</c:f>
              <c:numCache>
                <c:formatCode>0.0</c:formatCode>
                <c:ptCount val="90"/>
                <c:pt idx="0">
                  <c:v>76.835000000000008</c:v>
                </c:pt>
                <c:pt idx="1">
                  <c:v>0</c:v>
                </c:pt>
                <c:pt idx="2">
                  <c:v>0</c:v>
                </c:pt>
                <c:pt idx="3">
                  <c:v>76.835000000000008</c:v>
                </c:pt>
                <c:pt idx="4">
                  <c:v>76.835000000000008</c:v>
                </c:pt>
                <c:pt idx="6">
                  <c:v>76.835000000000008</c:v>
                </c:pt>
                <c:pt idx="7">
                  <c:v>0</c:v>
                </c:pt>
                <c:pt idx="8">
                  <c:v>0</c:v>
                </c:pt>
                <c:pt idx="9">
                  <c:v>76.835000000000008</c:v>
                </c:pt>
                <c:pt idx="10">
                  <c:v>76.835000000000008</c:v>
                </c:pt>
                <c:pt idx="12">
                  <c:v>76.835000000000008</c:v>
                </c:pt>
                <c:pt idx="13">
                  <c:v>76.835000000000008</c:v>
                </c:pt>
                <c:pt idx="14">
                  <c:v>0</c:v>
                </c:pt>
                <c:pt idx="15">
                  <c:v>0</c:v>
                </c:pt>
                <c:pt idx="16">
                  <c:v>76.835000000000008</c:v>
                </c:pt>
                <c:pt idx="18">
                  <c:v>1.9</c:v>
                </c:pt>
                <c:pt idx="19">
                  <c:v>1.9</c:v>
                </c:pt>
                <c:pt idx="20">
                  <c:v>0</c:v>
                </c:pt>
                <c:pt idx="21">
                  <c:v>0</c:v>
                </c:pt>
                <c:pt idx="22">
                  <c:v>1.9</c:v>
                </c:pt>
                <c:pt idx="24">
                  <c:v>76.835000000000008</c:v>
                </c:pt>
                <c:pt idx="25">
                  <c:v>76.835000000000008</c:v>
                </c:pt>
                <c:pt idx="26">
                  <c:v>74.935000000000002</c:v>
                </c:pt>
                <c:pt idx="27">
                  <c:v>74.935000000000002</c:v>
                </c:pt>
                <c:pt idx="28">
                  <c:v>76.835000000000008</c:v>
                </c:pt>
                <c:pt idx="30">
                  <c:v>76.98877323662677</c:v>
                </c:pt>
                <c:pt idx="31">
                  <c:v>29.68015853775065</c:v>
                </c:pt>
                <c:pt idx="32">
                  <c:v>29.526385301123888</c:v>
                </c:pt>
                <c:pt idx="33">
                  <c:v>76.835000000000008</c:v>
                </c:pt>
                <c:pt idx="34">
                  <c:v>76.98877323662677</c:v>
                </c:pt>
                <c:pt idx="36">
                  <c:v>29.68015853775065</c:v>
                </c:pt>
                <c:pt idx="37">
                  <c:v>27.786391447610647</c:v>
                </c:pt>
                <c:pt idx="38">
                  <c:v>24.719753029129816</c:v>
                </c:pt>
                <c:pt idx="39">
                  <c:v>26.613520119269818</c:v>
                </c:pt>
                <c:pt idx="40">
                  <c:v>29.68015853775065</c:v>
                </c:pt>
                <c:pt idx="42">
                  <c:v>29.012946596280582</c:v>
                </c:pt>
                <c:pt idx="43">
                  <c:v>68.040682321040364</c:v>
                </c:pt>
                <c:pt idx="44">
                  <c:v>68.284248750633637</c:v>
                </c:pt>
                <c:pt idx="45">
                  <c:v>29.256513025873851</c:v>
                </c:pt>
                <c:pt idx="46">
                  <c:v>29.012946596280582</c:v>
                </c:pt>
                <c:pt idx="48">
                  <c:v>68.284248750633637</c:v>
                </c:pt>
                <c:pt idx="49">
                  <c:v>65.25904275321588</c:v>
                </c:pt>
                <c:pt idx="50">
                  <c:v>63.361188015633054</c:v>
                </c:pt>
                <c:pt idx="51">
                  <c:v>66.386394013050818</c:v>
                </c:pt>
                <c:pt idx="52">
                  <c:v>68.284248750633637</c:v>
                </c:pt>
                <c:pt idx="54">
                  <c:v>46.329287296147569</c:v>
                </c:pt>
                <c:pt idx="55">
                  <c:v>46.329287296147569</c:v>
                </c:pt>
                <c:pt idx="56">
                  <c:v>48.229287296147568</c:v>
                </c:pt>
                <c:pt idx="57">
                  <c:v>48.229287296147568</c:v>
                </c:pt>
                <c:pt idx="58">
                  <c:v>46.329287296147569</c:v>
                </c:pt>
                <c:pt idx="60">
                  <c:v>1.9</c:v>
                </c:pt>
                <c:pt idx="61">
                  <c:v>46.329287296147569</c:v>
                </c:pt>
                <c:pt idx="62">
                  <c:v>46.329287296147569</c:v>
                </c:pt>
                <c:pt idx="63">
                  <c:v>1.9</c:v>
                </c:pt>
                <c:pt idx="64">
                  <c:v>1.9</c:v>
                </c:pt>
                <c:pt idx="66">
                  <c:v>65.25904275321588</c:v>
                </c:pt>
                <c:pt idx="67">
                  <c:v>15.067351815142317</c:v>
                </c:pt>
                <c:pt idx="68">
                  <c:v>14.977088893438969</c:v>
                </c:pt>
                <c:pt idx="69">
                  <c:v>65.168779831512538</c:v>
                </c:pt>
                <c:pt idx="70">
                  <c:v>65.25904275321588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AF-4B11-A162-C9F7F5A7AB2C}"/>
            </c:ext>
          </c:extLst>
        </c:ser>
        <c:ser>
          <c:idx val="5"/>
          <c:order val="1"/>
          <c:tx>
            <c:v>Sample Points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Path!$G$19:$G$168</c:f>
              <c:numCache>
                <c:formatCode>0.0</c:formatCode>
                <c:ptCount val="15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5">
                  <c:v>0</c:v>
                </c:pt>
                <c:pt idx="106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0</c:v>
                </c:pt>
                <c:pt idx="112">
                  <c:v>0</c:v>
                </c:pt>
                <c:pt idx="114">
                  <c:v>0</c:v>
                </c:pt>
                <c:pt idx="115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6">
                  <c:v>0</c:v>
                </c:pt>
                <c:pt idx="127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0</c:v>
                </c:pt>
                <c:pt idx="133">
                  <c:v>0</c:v>
                </c:pt>
                <c:pt idx="135">
                  <c:v>0</c:v>
                </c:pt>
                <c:pt idx="136">
                  <c:v>0</c:v>
                </c:pt>
                <c:pt idx="138">
                  <c:v>0</c:v>
                </c:pt>
                <c:pt idx="139">
                  <c:v>0</c:v>
                </c:pt>
                <c:pt idx="141">
                  <c:v>0</c:v>
                </c:pt>
                <c:pt idx="142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xVal>
          <c:yVal>
            <c:numRef>
              <c:f>Path!$H$19:$H$168</c:f>
              <c:numCache>
                <c:formatCode>0.0</c:formatCode>
                <c:ptCount val="15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5">
                  <c:v>0</c:v>
                </c:pt>
                <c:pt idx="106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0</c:v>
                </c:pt>
                <c:pt idx="112">
                  <c:v>0</c:v>
                </c:pt>
                <c:pt idx="114">
                  <c:v>0</c:v>
                </c:pt>
                <c:pt idx="115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6">
                  <c:v>0</c:v>
                </c:pt>
                <c:pt idx="127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0</c:v>
                </c:pt>
                <c:pt idx="133">
                  <c:v>0</c:v>
                </c:pt>
                <c:pt idx="135">
                  <c:v>0</c:v>
                </c:pt>
                <c:pt idx="136">
                  <c:v>0</c:v>
                </c:pt>
                <c:pt idx="138">
                  <c:v>0</c:v>
                </c:pt>
                <c:pt idx="139">
                  <c:v>0</c:v>
                </c:pt>
                <c:pt idx="141">
                  <c:v>0</c:v>
                </c:pt>
                <c:pt idx="142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AF-4B11-A162-C9F7F5A7AB2C}"/>
            </c:ext>
          </c:extLst>
        </c:ser>
        <c:ser>
          <c:idx val="6"/>
          <c:order val="2"/>
          <c:tx>
            <c:v>Driver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Panels!$V$86:$V$101</c:f>
              <c:numCache>
                <c:formatCode>0.0</c:formatCode>
                <c:ptCount val="16"/>
                <c:pt idx="0">
                  <c:v>32.807386829029362</c:v>
                </c:pt>
                <c:pt idx="1">
                  <c:v>31.269654462761739</c:v>
                </c:pt>
                <c:pt idx="2">
                  <c:v>15.122798220515406</c:v>
                </c:pt>
                <c:pt idx="3">
                  <c:v>15.810731121214081</c:v>
                </c:pt>
                <c:pt idx="4">
                  <c:v>21.791048247971982</c:v>
                </c:pt>
                <c:pt idx="5">
                  <c:v>32.718360218350711</c:v>
                </c:pt>
                <c:pt idx="7">
                  <c:v>29.731922096494113</c:v>
                </c:pt>
                <c:pt idx="8">
                  <c:v>31.269654462761739</c:v>
                </c:pt>
                <c:pt idx="9">
                  <c:v>15.122798220515406</c:v>
                </c:pt>
                <c:pt idx="10">
                  <c:v>14.434865319816732</c:v>
                </c:pt>
                <c:pt idx="11">
                  <c:v>20.415182446574633</c:v>
                </c:pt>
                <c:pt idx="12">
                  <c:v>29.820948707172764</c:v>
                </c:pt>
                <c:pt idx="14">
                  <c:v>20.415182446574633</c:v>
                </c:pt>
                <c:pt idx="15">
                  <c:v>21.791048247971982</c:v>
                </c:pt>
              </c:numCache>
            </c:numRef>
          </c:xVal>
          <c:yVal>
            <c:numRef>
              <c:f>Panels!$W$86:$W$101</c:f>
              <c:numCache>
                <c:formatCode>0.0</c:formatCode>
                <c:ptCount val="16"/>
                <c:pt idx="0">
                  <c:v>66.558780819424356</c:v>
                </c:pt>
                <c:pt idx="1">
                  <c:v>47.621109918024345</c:v>
                </c:pt>
                <c:pt idx="2">
                  <c:v>48.93222909347358</c:v>
                </c:pt>
                <c:pt idx="3">
                  <c:v>57.40434502304727</c:v>
                </c:pt>
                <c:pt idx="4">
                  <c:v>56.918745328436444</c:v>
                </c:pt>
                <c:pt idx="5">
                  <c:v>65.462389346185418</c:v>
                </c:pt>
                <c:pt idx="7">
                  <c:v>28.683439016624327</c:v>
                </c:pt>
                <c:pt idx="8">
                  <c:v>47.621109918024345</c:v>
                </c:pt>
                <c:pt idx="9">
                  <c:v>48.93222909347358</c:v>
                </c:pt>
                <c:pt idx="10">
                  <c:v>40.460113163899891</c:v>
                </c:pt>
                <c:pt idx="11">
                  <c:v>39.974513469289064</c:v>
                </c:pt>
                <c:pt idx="12">
                  <c:v>29.779830489863276</c:v>
                </c:pt>
                <c:pt idx="14">
                  <c:v>39.974513469289064</c:v>
                </c:pt>
                <c:pt idx="15">
                  <c:v>56.918745328436444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CAF-4B11-A162-C9F7F5A7AB2C}"/>
            </c:ext>
          </c:extLst>
        </c:ser>
        <c:ser>
          <c:idx val="2"/>
          <c:order val="3"/>
          <c:tx>
            <c:v>Adv Centerline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Path!$K$19:$K$168</c:f>
              <c:numCache>
                <c:formatCode>0.0</c:formatCode>
                <c:ptCount val="150"/>
                <c:pt idx="3">
                  <c:v>33.919003093207976</c:v>
                </c:pt>
                <c:pt idx="4">
                  <c:v>33.919003093207976</c:v>
                </c:pt>
                <c:pt idx="5">
                  <c:v>33.919003093207976</c:v>
                </c:pt>
                <c:pt idx="6">
                  <c:v>33.924522355317222</c:v>
                </c:pt>
                <c:pt idx="7">
                  <c:v>33.924522355317222</c:v>
                </c:pt>
                <c:pt idx="8">
                  <c:v>33.924522355317222</c:v>
                </c:pt>
                <c:pt idx="9">
                  <c:v>35.795619092141031</c:v>
                </c:pt>
                <c:pt idx="10">
                  <c:v>35.795619092141031</c:v>
                </c:pt>
                <c:pt idx="11">
                  <c:v>35.795619092141031</c:v>
                </c:pt>
                <c:pt idx="12">
                  <c:v>38.048781292343989</c:v>
                </c:pt>
                <c:pt idx="13">
                  <c:v>38.048781292343989</c:v>
                </c:pt>
                <c:pt idx="14">
                  <c:v>38.048781292343989</c:v>
                </c:pt>
                <c:pt idx="15">
                  <c:v>38.170504239999701</c:v>
                </c:pt>
                <c:pt idx="16">
                  <c:v>38.170504239999701</c:v>
                </c:pt>
                <c:pt idx="17">
                  <c:v>38.170504239999701</c:v>
                </c:pt>
                <c:pt idx="18">
                  <c:v>39.819143492501482</c:v>
                </c:pt>
                <c:pt idx="19">
                  <c:v>39.819143492501482</c:v>
                </c:pt>
                <c:pt idx="20">
                  <c:v>39.819143492501482</c:v>
                </c:pt>
                <c:pt idx="21">
                  <c:v>41.269173179034176</c:v>
                </c:pt>
                <c:pt idx="22">
                  <c:v>41.269173179034176</c:v>
                </c:pt>
                <c:pt idx="23">
                  <c:v>41.269173179034176</c:v>
                </c:pt>
                <c:pt idx="24">
                  <c:v>43.153496769709406</c:v>
                </c:pt>
                <c:pt idx="25">
                  <c:v>43.153496769709406</c:v>
                </c:pt>
                <c:pt idx="26">
                  <c:v>43.153496769709406</c:v>
                </c:pt>
                <c:pt idx="27">
                  <c:v>108.69589382581285</c:v>
                </c:pt>
                <c:pt idx="28">
                  <c:v>108.69589382581285</c:v>
                </c:pt>
                <c:pt idx="29">
                  <c:v>108.69589382581285</c:v>
                </c:pt>
                <c:pt idx="30">
                  <c:v>111.18041456337917</c:v>
                </c:pt>
                <c:pt idx="31">
                  <c:v>111.18041456337917</c:v>
                </c:pt>
                <c:pt idx="32">
                  <c:v>111.18041456337917</c:v>
                </c:pt>
                <c:pt idx="33">
                  <c:v>113.66493530094549</c:v>
                </c:pt>
                <c:pt idx="34">
                  <c:v>113.66493530094549</c:v>
                </c:pt>
                <c:pt idx="35">
                  <c:v>113.66493530094549</c:v>
                </c:pt>
                <c:pt idx="36">
                  <c:v>113.66493530094549</c:v>
                </c:pt>
                <c:pt idx="37">
                  <c:v>113.66493530094549</c:v>
                </c:pt>
                <c:pt idx="38">
                  <c:v>113.66493530094549</c:v>
                </c:pt>
                <c:pt idx="39">
                  <c:v>112.47136432325516</c:v>
                </c:pt>
                <c:pt idx="40">
                  <c:v>112.47136432325516</c:v>
                </c:pt>
                <c:pt idx="41">
                  <c:v>112.47136432325516</c:v>
                </c:pt>
                <c:pt idx="42">
                  <c:v>112.47136432325516</c:v>
                </c:pt>
                <c:pt idx="43">
                  <c:v>112.47136432325516</c:v>
                </c:pt>
                <c:pt idx="44">
                  <c:v>112.47136432325516</c:v>
                </c:pt>
                <c:pt idx="45">
                  <c:v>109.33204648488274</c:v>
                </c:pt>
                <c:pt idx="46">
                  <c:v>109.33204648488274</c:v>
                </c:pt>
                <c:pt idx="47">
                  <c:v>109.33204648488274</c:v>
                </c:pt>
                <c:pt idx="48">
                  <c:v>106.03737212302894</c:v>
                </c:pt>
                <c:pt idx="49">
                  <c:v>106.03737212302894</c:v>
                </c:pt>
                <c:pt idx="50">
                  <c:v>106.03737212302894</c:v>
                </c:pt>
                <c:pt idx="51">
                  <c:v>104.13844505705336</c:v>
                </c:pt>
                <c:pt idx="52">
                  <c:v>104.13844505705336</c:v>
                </c:pt>
                <c:pt idx="53">
                  <c:v>104.13844505705336</c:v>
                </c:pt>
                <c:pt idx="54">
                  <c:v>100.79585183392803</c:v>
                </c:pt>
                <c:pt idx="55">
                  <c:v>100.79585183392803</c:v>
                </c:pt>
                <c:pt idx="56">
                  <c:v>100.79585183392803</c:v>
                </c:pt>
                <c:pt idx="57">
                  <c:v>97.453258610802692</c:v>
                </c:pt>
                <c:pt idx="58">
                  <c:v>97.453258610802692</c:v>
                </c:pt>
                <c:pt idx="59">
                  <c:v>97.453258610802692</c:v>
                </c:pt>
                <c:pt idx="60">
                  <c:v>98.233242575410543</c:v>
                </c:pt>
                <c:pt idx="61">
                  <c:v>98.233242575410543</c:v>
                </c:pt>
                <c:pt idx="62">
                  <c:v>98.233242575410543</c:v>
                </c:pt>
                <c:pt idx="63">
                  <c:v>98.417470351525949</c:v>
                </c:pt>
                <c:pt idx="64">
                  <c:v>98.417470351525949</c:v>
                </c:pt>
                <c:pt idx="65">
                  <c:v>98.417470351525949</c:v>
                </c:pt>
                <c:pt idx="66">
                  <c:v>94.70098921430926</c:v>
                </c:pt>
                <c:pt idx="67">
                  <c:v>94.70098921430926</c:v>
                </c:pt>
                <c:pt idx="68">
                  <c:v>94.70098921430926</c:v>
                </c:pt>
                <c:pt idx="69">
                  <c:v>90.800280300977178</c:v>
                </c:pt>
                <c:pt idx="70">
                  <c:v>90.800280300977178</c:v>
                </c:pt>
                <c:pt idx="71">
                  <c:v>90.800280300977178</c:v>
                </c:pt>
                <c:pt idx="72">
                  <c:v>58.91611135310265</c:v>
                </c:pt>
                <c:pt idx="73">
                  <c:v>58.91611135310265</c:v>
                </c:pt>
                <c:pt idx="74">
                  <c:v>58.91611135310265</c:v>
                </c:pt>
                <c:pt idx="75">
                  <c:v>54.881477372687222</c:v>
                </c:pt>
                <c:pt idx="76">
                  <c:v>54.881477372687222</c:v>
                </c:pt>
                <c:pt idx="77">
                  <c:v>54.881477372687222</c:v>
                </c:pt>
                <c:pt idx="78">
                  <c:v>50.236035759811344</c:v>
                </c:pt>
                <c:pt idx="79">
                  <c:v>50.236035759811344</c:v>
                </c:pt>
                <c:pt idx="80">
                  <c:v>50.236035759811344</c:v>
                </c:pt>
                <c:pt idx="81">
                  <c:v>49.686635267590759</c:v>
                </c:pt>
                <c:pt idx="82">
                  <c:v>49.686635267590759</c:v>
                </c:pt>
                <c:pt idx="83">
                  <c:v>49.686635267590759</c:v>
                </c:pt>
                <c:pt idx="84">
                  <c:v>49.564852052794123</c:v>
                </c:pt>
                <c:pt idx="85">
                  <c:v>49.564852052794123</c:v>
                </c:pt>
                <c:pt idx="86">
                  <c:v>49.564852052794123</c:v>
                </c:pt>
                <c:pt idx="87">
                  <c:v>48.967238581955947</c:v>
                </c:pt>
                <c:pt idx="88">
                  <c:v>48.967238581955947</c:v>
                </c:pt>
                <c:pt idx="89">
                  <c:v>48.967238581955947</c:v>
                </c:pt>
                <c:pt idx="90">
                  <c:v>53.347689132717093</c:v>
                </c:pt>
                <c:pt idx="91">
                  <c:v>53.347689132717093</c:v>
                </c:pt>
                <c:pt idx="92">
                  <c:v>53.347689132717093</c:v>
                </c:pt>
                <c:pt idx="93">
                  <c:v>58.325753154316409</c:v>
                </c:pt>
                <c:pt idx="94">
                  <c:v>58.325753154316409</c:v>
                </c:pt>
                <c:pt idx="95">
                  <c:v>58.325753154316409</c:v>
                </c:pt>
                <c:pt idx="96">
                  <c:v>67.978741272311538</c:v>
                </c:pt>
                <c:pt idx="97">
                  <c:v>67.978741272311538</c:v>
                </c:pt>
                <c:pt idx="98">
                  <c:v>67.978741272311538</c:v>
                </c:pt>
                <c:pt idx="99">
                  <c:v>73.062156032460777</c:v>
                </c:pt>
                <c:pt idx="100">
                  <c:v>73.062156032460777</c:v>
                </c:pt>
                <c:pt idx="101">
                  <c:v>73.062156032460777</c:v>
                </c:pt>
                <c:pt idx="102">
                  <c:v>78.145570792610016</c:v>
                </c:pt>
                <c:pt idx="103">
                  <c:v>78.145570792610016</c:v>
                </c:pt>
                <c:pt idx="104">
                  <c:v>78.145570792610016</c:v>
                </c:pt>
                <c:pt idx="105">
                  <c:v>78.145570792610016</c:v>
                </c:pt>
                <c:pt idx="106">
                  <c:v>78.145570792610016</c:v>
                </c:pt>
                <c:pt idx="107">
                  <c:v>78.145570792610016</c:v>
                </c:pt>
                <c:pt idx="108">
                  <c:v>78.068684174296635</c:v>
                </c:pt>
                <c:pt idx="109">
                  <c:v>78.068684174296635</c:v>
                </c:pt>
                <c:pt idx="110">
                  <c:v>78.068684174296635</c:v>
                </c:pt>
                <c:pt idx="111">
                  <c:v>78.068684174296635</c:v>
                </c:pt>
                <c:pt idx="112">
                  <c:v>78.068684174296635</c:v>
                </c:pt>
                <c:pt idx="113">
                  <c:v>78.068684174296635</c:v>
                </c:pt>
                <c:pt idx="114">
                  <c:v>72.747204605106006</c:v>
                </c:pt>
                <c:pt idx="115">
                  <c:v>72.747204605106006</c:v>
                </c:pt>
                <c:pt idx="116">
                  <c:v>72.747204605106006</c:v>
                </c:pt>
                <c:pt idx="117">
                  <c:v>66.963626525032623</c:v>
                </c:pt>
                <c:pt idx="118">
                  <c:v>66.963626525032623</c:v>
                </c:pt>
                <c:pt idx="119">
                  <c:v>66.963626525032623</c:v>
                </c:pt>
                <c:pt idx="120">
                  <c:v>29.134884403404993</c:v>
                </c:pt>
                <c:pt idx="121">
                  <c:v>29.134884403404993</c:v>
                </c:pt>
                <c:pt idx="122">
                  <c:v>29.134884403404993</c:v>
                </c:pt>
                <c:pt idx="123">
                  <c:v>22.45721273727812</c:v>
                </c:pt>
                <c:pt idx="124">
                  <c:v>22.45721273727812</c:v>
                </c:pt>
                <c:pt idx="125">
                  <c:v>22.45721273727812</c:v>
                </c:pt>
                <c:pt idx="126">
                  <c:v>15.779541071151243</c:v>
                </c:pt>
                <c:pt idx="127">
                  <c:v>15.779541071151243</c:v>
                </c:pt>
                <c:pt idx="128">
                  <c:v>15.779541071151243</c:v>
                </c:pt>
                <c:pt idx="129">
                  <c:v>15.779541071151243</c:v>
                </c:pt>
                <c:pt idx="130">
                  <c:v>15.779541071151243</c:v>
                </c:pt>
                <c:pt idx="131">
                  <c:v>15.779541071151243</c:v>
                </c:pt>
                <c:pt idx="132">
                  <c:v>15.856427689464624</c:v>
                </c:pt>
                <c:pt idx="133">
                  <c:v>15.856427689464624</c:v>
                </c:pt>
                <c:pt idx="134">
                  <c:v>15.856427689464624</c:v>
                </c:pt>
                <c:pt idx="135">
                  <c:v>15.856427689464624</c:v>
                </c:pt>
                <c:pt idx="136">
                  <c:v>15.856427689464624</c:v>
                </c:pt>
                <c:pt idx="137">
                  <c:v>15.856427689464624</c:v>
                </c:pt>
                <c:pt idx="138">
                  <c:v>16.584827231380864</c:v>
                </c:pt>
                <c:pt idx="139">
                  <c:v>16.584827231380864</c:v>
                </c:pt>
                <c:pt idx="140">
                  <c:v>16.584827231380864</c:v>
                </c:pt>
                <c:pt idx="141">
                  <c:v>17.718841974401442</c:v>
                </c:pt>
                <c:pt idx="142">
                  <c:v>17.718841974401442</c:v>
                </c:pt>
                <c:pt idx="143">
                  <c:v>17.718841974401442</c:v>
                </c:pt>
                <c:pt idx="144">
                  <c:v>17.747995644048107</c:v>
                </c:pt>
                <c:pt idx="145">
                  <c:v>17.747995644048107</c:v>
                </c:pt>
                <c:pt idx="146">
                  <c:v>17.747995644048107</c:v>
                </c:pt>
              </c:numCache>
            </c:numRef>
          </c:xVal>
          <c:yVal>
            <c:numRef>
              <c:f>Path!$L$19:$L$168</c:f>
              <c:numCache>
                <c:formatCode>0.0</c:formatCode>
                <c:ptCount val="150"/>
                <c:pt idx="3">
                  <c:v>29.346770652005752</c:v>
                </c:pt>
                <c:pt idx="4">
                  <c:v>29.346770652005752</c:v>
                </c:pt>
                <c:pt idx="5">
                  <c:v>29.346770652005752</c:v>
                </c:pt>
                <c:pt idx="6">
                  <c:v>29.399250367756981</c:v>
                </c:pt>
                <c:pt idx="7">
                  <c:v>29.399250367756981</c:v>
                </c:pt>
                <c:pt idx="8">
                  <c:v>29.399250367756981</c:v>
                </c:pt>
                <c:pt idx="9">
                  <c:v>47.190509950642422</c:v>
                </c:pt>
                <c:pt idx="10">
                  <c:v>47.190509950642422</c:v>
                </c:pt>
                <c:pt idx="11">
                  <c:v>47.190509950642422</c:v>
                </c:pt>
                <c:pt idx="12">
                  <c:v>68.614625976948616</c:v>
                </c:pt>
                <c:pt idx="13">
                  <c:v>68.614625976948616</c:v>
                </c:pt>
                <c:pt idx="14">
                  <c:v>68.614625976948616</c:v>
                </c:pt>
                <c:pt idx="15">
                  <c:v>70.112125176132722</c:v>
                </c:pt>
                <c:pt idx="16">
                  <c:v>70.112125176132722</c:v>
                </c:pt>
                <c:pt idx="17">
                  <c:v>70.112125176132722</c:v>
                </c:pt>
                <c:pt idx="18">
                  <c:v>71.609624375316827</c:v>
                </c:pt>
                <c:pt idx="19">
                  <c:v>71.609624375316827</c:v>
                </c:pt>
                <c:pt idx="20">
                  <c:v>71.609624375316827</c:v>
                </c:pt>
                <c:pt idx="21">
                  <c:v>71.609624375316827</c:v>
                </c:pt>
                <c:pt idx="22">
                  <c:v>71.609624375316827</c:v>
                </c:pt>
                <c:pt idx="23">
                  <c:v>71.609624375316827</c:v>
                </c:pt>
                <c:pt idx="24">
                  <c:v>71.609624375316827</c:v>
                </c:pt>
                <c:pt idx="25">
                  <c:v>71.609624375316827</c:v>
                </c:pt>
                <c:pt idx="26">
                  <c:v>71.609624375316827</c:v>
                </c:pt>
                <c:pt idx="27">
                  <c:v>70.051889915756277</c:v>
                </c:pt>
                <c:pt idx="28">
                  <c:v>70.051889915756277</c:v>
                </c:pt>
                <c:pt idx="29">
                  <c:v>70.051889915756277</c:v>
                </c:pt>
                <c:pt idx="30">
                  <c:v>70.051889915756277</c:v>
                </c:pt>
                <c:pt idx="31">
                  <c:v>70.051889915756277</c:v>
                </c:pt>
                <c:pt idx="32">
                  <c:v>70.051889915756277</c:v>
                </c:pt>
                <c:pt idx="33">
                  <c:v>67.6103348736344</c:v>
                </c:pt>
                <c:pt idx="34">
                  <c:v>67.6103348736344</c:v>
                </c:pt>
                <c:pt idx="35">
                  <c:v>67.6103348736344</c:v>
                </c:pt>
                <c:pt idx="36">
                  <c:v>65.047958144092604</c:v>
                </c:pt>
                <c:pt idx="37">
                  <c:v>65.047958144092604</c:v>
                </c:pt>
                <c:pt idx="38">
                  <c:v>65.047958144092604</c:v>
                </c:pt>
                <c:pt idx="39">
                  <c:v>14.856267206019034</c:v>
                </c:pt>
                <c:pt idx="40">
                  <c:v>14.856267206019034</c:v>
                </c:pt>
                <c:pt idx="41">
                  <c:v>14.856267206019034</c:v>
                </c:pt>
                <c:pt idx="42">
                  <c:v>11.647405826369258</c:v>
                </c:pt>
                <c:pt idx="43">
                  <c:v>11.647405826369258</c:v>
                </c:pt>
                <c:pt idx="44">
                  <c:v>11.647405826369258</c:v>
                </c:pt>
                <c:pt idx="45">
                  <c:v>8.4385444467194848</c:v>
                </c:pt>
                <c:pt idx="46">
                  <c:v>8.4385444467194848</c:v>
                </c:pt>
                <c:pt idx="47">
                  <c:v>8.4385444467194848</c:v>
                </c:pt>
                <c:pt idx="48">
                  <c:v>8.4385444467194848</c:v>
                </c:pt>
                <c:pt idx="49">
                  <c:v>8.4385444467194848</c:v>
                </c:pt>
                <c:pt idx="50">
                  <c:v>8.4385444467194848</c:v>
                </c:pt>
                <c:pt idx="51">
                  <c:v>8.4836759075711576</c:v>
                </c:pt>
                <c:pt idx="52">
                  <c:v>8.4836759075711576</c:v>
                </c:pt>
                <c:pt idx="53">
                  <c:v>8.4836759075711576</c:v>
                </c:pt>
                <c:pt idx="54">
                  <c:v>8.4836759075711576</c:v>
                </c:pt>
                <c:pt idx="55">
                  <c:v>8.4836759075711576</c:v>
                </c:pt>
                <c:pt idx="56">
                  <c:v>8.4836759075711576</c:v>
                </c:pt>
                <c:pt idx="57">
                  <c:v>15.150488958215373</c:v>
                </c:pt>
                <c:pt idx="58">
                  <c:v>15.150488958215373</c:v>
                </c:pt>
                <c:pt idx="59">
                  <c:v>15.150488958215373</c:v>
                </c:pt>
                <c:pt idx="60">
                  <c:v>48.048146134876035</c:v>
                </c:pt>
                <c:pt idx="61">
                  <c:v>48.048146134876035</c:v>
                </c:pt>
                <c:pt idx="62">
                  <c:v>48.048146134876035</c:v>
                </c:pt>
                <c:pt idx="63">
                  <c:v>51.921691895383177</c:v>
                </c:pt>
                <c:pt idx="64">
                  <c:v>51.921691895383177</c:v>
                </c:pt>
                <c:pt idx="65">
                  <c:v>51.921691895383177</c:v>
                </c:pt>
                <c:pt idx="66">
                  <c:v>55.980757325156446</c:v>
                </c:pt>
                <c:pt idx="67">
                  <c:v>55.980757325156446</c:v>
                </c:pt>
                <c:pt idx="68">
                  <c:v>55.980757325156446</c:v>
                </c:pt>
                <c:pt idx="69">
                  <c:v>56.166276994422589</c:v>
                </c:pt>
                <c:pt idx="70">
                  <c:v>56.166276994422589</c:v>
                </c:pt>
                <c:pt idx="71">
                  <c:v>56.166276994422589</c:v>
                </c:pt>
                <c:pt idx="72">
                  <c:v>56.924062229555176</c:v>
                </c:pt>
                <c:pt idx="73">
                  <c:v>56.924062229555176</c:v>
                </c:pt>
                <c:pt idx="74">
                  <c:v>56.924062229555176</c:v>
                </c:pt>
                <c:pt idx="75">
                  <c:v>57.11595144207719</c:v>
                </c:pt>
                <c:pt idx="76">
                  <c:v>57.11595144207719</c:v>
                </c:pt>
                <c:pt idx="77">
                  <c:v>57.11595144207719</c:v>
                </c:pt>
                <c:pt idx="78">
                  <c:v>53.060387666294474</c:v>
                </c:pt>
                <c:pt idx="79">
                  <c:v>53.060387666294474</c:v>
                </c:pt>
                <c:pt idx="80">
                  <c:v>53.060387666294474</c:v>
                </c:pt>
                <c:pt idx="81">
                  <c:v>48.810014123649253</c:v>
                </c:pt>
                <c:pt idx="82">
                  <c:v>48.810014123649253</c:v>
                </c:pt>
                <c:pt idx="83">
                  <c:v>48.810014123649253</c:v>
                </c:pt>
                <c:pt idx="84">
                  <c:v>46.917852328311639</c:v>
                </c:pt>
                <c:pt idx="85">
                  <c:v>46.917852328311639</c:v>
                </c:pt>
                <c:pt idx="86">
                  <c:v>46.917852328311639</c:v>
                </c:pt>
                <c:pt idx="87">
                  <c:v>42.294484637262855</c:v>
                </c:pt>
                <c:pt idx="88">
                  <c:v>42.294484637262855</c:v>
                </c:pt>
                <c:pt idx="89">
                  <c:v>42.294484637262855</c:v>
                </c:pt>
                <c:pt idx="90">
                  <c:v>37.266899859159302</c:v>
                </c:pt>
                <c:pt idx="91">
                  <c:v>37.266899859159302</c:v>
                </c:pt>
                <c:pt idx="92">
                  <c:v>37.266899859159302</c:v>
                </c:pt>
                <c:pt idx="93">
                  <c:v>36.862682772104527</c:v>
                </c:pt>
                <c:pt idx="94">
                  <c:v>36.862682772104527</c:v>
                </c:pt>
                <c:pt idx="95">
                  <c:v>36.862682772104527</c:v>
                </c:pt>
                <c:pt idx="96">
                  <c:v>36.471403707708696</c:v>
                </c:pt>
                <c:pt idx="97">
                  <c:v>36.471403707708696</c:v>
                </c:pt>
                <c:pt idx="98">
                  <c:v>36.471403707708696</c:v>
                </c:pt>
                <c:pt idx="99">
                  <c:v>36.471403707708696</c:v>
                </c:pt>
                <c:pt idx="100">
                  <c:v>36.471403707708696</c:v>
                </c:pt>
                <c:pt idx="101">
                  <c:v>36.471403707708696</c:v>
                </c:pt>
                <c:pt idx="102">
                  <c:v>31.32849963391638</c:v>
                </c:pt>
                <c:pt idx="103">
                  <c:v>31.32849963391638</c:v>
                </c:pt>
                <c:pt idx="104">
                  <c:v>31.32849963391638</c:v>
                </c:pt>
                <c:pt idx="105">
                  <c:v>26.185595560124071</c:v>
                </c:pt>
                <c:pt idx="106">
                  <c:v>26.185595560124071</c:v>
                </c:pt>
                <c:pt idx="107">
                  <c:v>26.185595560124071</c:v>
                </c:pt>
                <c:pt idx="108">
                  <c:v>24.291828469984068</c:v>
                </c:pt>
                <c:pt idx="109">
                  <c:v>24.291828469984068</c:v>
                </c:pt>
                <c:pt idx="110">
                  <c:v>24.291828469984068</c:v>
                </c:pt>
                <c:pt idx="111">
                  <c:v>18.800852492274487</c:v>
                </c:pt>
                <c:pt idx="112">
                  <c:v>18.800852492274487</c:v>
                </c:pt>
                <c:pt idx="113">
                  <c:v>18.800852492274487</c:v>
                </c:pt>
                <c:pt idx="114">
                  <c:v>13.309876514564907</c:v>
                </c:pt>
                <c:pt idx="115">
                  <c:v>13.309876514564907</c:v>
                </c:pt>
                <c:pt idx="116">
                  <c:v>13.309876514564907</c:v>
                </c:pt>
                <c:pt idx="117">
                  <c:v>13.309876514564907</c:v>
                </c:pt>
                <c:pt idx="118">
                  <c:v>13.309876514564907</c:v>
                </c:pt>
                <c:pt idx="119">
                  <c:v>13.309876514564907</c:v>
                </c:pt>
                <c:pt idx="120">
                  <c:v>14.843195723805323</c:v>
                </c:pt>
                <c:pt idx="121">
                  <c:v>14.843195723805323</c:v>
                </c:pt>
                <c:pt idx="122">
                  <c:v>14.843195723805323</c:v>
                </c:pt>
                <c:pt idx="123">
                  <c:v>14.843195723805323</c:v>
                </c:pt>
                <c:pt idx="124">
                  <c:v>14.843195723805323</c:v>
                </c:pt>
                <c:pt idx="125">
                  <c:v>14.843195723805323</c:v>
                </c:pt>
                <c:pt idx="126">
                  <c:v>21.314793585707985</c:v>
                </c:pt>
                <c:pt idx="127">
                  <c:v>21.314793585707985</c:v>
                </c:pt>
                <c:pt idx="128">
                  <c:v>21.314793585707985</c:v>
                </c:pt>
                <c:pt idx="129">
                  <c:v>28.348511050967254</c:v>
                </c:pt>
                <c:pt idx="130">
                  <c:v>28.348511050967254</c:v>
                </c:pt>
                <c:pt idx="131">
                  <c:v>28.348511050967254</c:v>
                </c:pt>
                <c:pt idx="132">
                  <c:v>30.245392039122201</c:v>
                </c:pt>
                <c:pt idx="133">
                  <c:v>30.245392039122201</c:v>
                </c:pt>
                <c:pt idx="134">
                  <c:v>30.245392039122201</c:v>
                </c:pt>
                <c:pt idx="135">
                  <c:v>30.245392039122201</c:v>
                </c:pt>
                <c:pt idx="136">
                  <c:v>30.245392039122201</c:v>
                </c:pt>
                <c:pt idx="137">
                  <c:v>30.245392039122201</c:v>
                </c:pt>
                <c:pt idx="138">
                  <c:v>48.215843505853215</c:v>
                </c:pt>
                <c:pt idx="139">
                  <c:v>48.215843505853215</c:v>
                </c:pt>
                <c:pt idx="140">
                  <c:v>48.215843505853215</c:v>
                </c:pt>
                <c:pt idx="141">
                  <c:v>76.193812896971707</c:v>
                </c:pt>
                <c:pt idx="142">
                  <c:v>76.193812896971707</c:v>
                </c:pt>
                <c:pt idx="143">
                  <c:v>76.193812896971707</c:v>
                </c:pt>
                <c:pt idx="144">
                  <c:v>76.91306830765663</c:v>
                </c:pt>
                <c:pt idx="145">
                  <c:v>76.91306830765663</c:v>
                </c:pt>
                <c:pt idx="146">
                  <c:v>76.91306830765663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CAF-4B11-A162-C9F7F5A7AB2C}"/>
            </c:ext>
          </c:extLst>
        </c:ser>
        <c:ser>
          <c:idx val="0"/>
          <c:order val="4"/>
          <c:tx>
            <c:v>Axes</c:v>
          </c:tx>
          <c:spPr>
            <a:ln>
              <a:noFill/>
            </a:ln>
          </c:spPr>
          <c:marker>
            <c:symbol val="none"/>
          </c:marker>
          <c:xVal>
            <c:numRef>
              <c:f>Panels!$S$106:$S$110</c:f>
              <c:numCache>
                <c:formatCode>0.0</c:formatCode>
                <c:ptCount val="5"/>
                <c:pt idx="0">
                  <c:v>-5</c:v>
                </c:pt>
                <c:pt idx="1">
                  <c:v>-5</c:v>
                </c:pt>
                <c:pt idx="3">
                  <c:v>-5</c:v>
                </c:pt>
                <c:pt idx="4">
                  <c:v>120.65</c:v>
                </c:pt>
              </c:numCache>
            </c:numRef>
          </c:xVal>
          <c:yVal>
            <c:numRef>
              <c:f>Panels!$T$106:$T$110</c:f>
              <c:numCache>
                <c:formatCode>0.0</c:formatCode>
                <c:ptCount val="5"/>
                <c:pt idx="0">
                  <c:v>-5</c:v>
                </c:pt>
                <c:pt idx="1">
                  <c:v>120.65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CAF-4B11-A162-C9F7F5A7AB2C}"/>
            </c:ext>
          </c:extLst>
        </c:ser>
        <c:ser>
          <c:idx val="3"/>
          <c:order val="5"/>
          <c:tx>
            <c:v>Guides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Guides!$F$2:$F$25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Guides!$G$2:$G$25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CAF-4B11-A162-C9F7F5A7AB2C}"/>
            </c:ext>
          </c:extLst>
        </c:ser>
        <c:ser>
          <c:idx val="7"/>
          <c:order val="6"/>
          <c:tx>
            <c:v>Braces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Bracing!$F$2:$F$28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Bracing!$G$2:$G$28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CAF-4B11-A162-C9F7F5A7A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211616"/>
        <c:axId val="197213968"/>
      </c:scatterChart>
      <c:valAx>
        <c:axId val="19721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Width</a:t>
                </a:r>
              </a:p>
            </c:rich>
          </c:tx>
          <c:layout>
            <c:manualLayout>
              <c:xMode val="edge"/>
              <c:yMode val="edge"/>
              <c:x val="0.51342287063615377"/>
              <c:y val="0.935367834455475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197213968"/>
        <c:crosses val="autoZero"/>
        <c:crossBetween val="midCat"/>
      </c:valAx>
      <c:valAx>
        <c:axId val="197213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</a:t>
                </a:r>
              </a:p>
            </c:rich>
          </c:tx>
          <c:layout>
            <c:manualLayout>
              <c:xMode val="edge"/>
              <c:yMode val="edge"/>
              <c:x val="1.789727789043092E-2"/>
              <c:y val="0.454485716459355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197211616"/>
        <c:crosses val="autoZero"/>
        <c:crossBetween val="midCat"/>
      </c:valAx>
      <c:spPr>
        <a:noFill/>
        <a:ln w="12700">
          <a:solidFill>
            <a:srgbClr val="00000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08921868121155E-2"/>
          <c:y val="4.6225676204367364E-2"/>
          <c:w val="0.86577181208053688"/>
          <c:h val="0.85996409335727109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Panels!$F$6:$F$95</c:f>
              <c:numCache>
                <c:formatCode>0.0</c:formatCode>
                <c:ptCount val="90"/>
                <c:pt idx="0">
                  <c:v>118.75</c:v>
                </c:pt>
                <c:pt idx="1">
                  <c:v>118.75</c:v>
                </c:pt>
                <c:pt idx="2">
                  <c:v>120.65</c:v>
                </c:pt>
                <c:pt idx="3">
                  <c:v>120.65</c:v>
                </c:pt>
                <c:pt idx="4">
                  <c:v>118.75</c:v>
                </c:pt>
                <c:pt idx="6">
                  <c:v>0</c:v>
                </c:pt>
                <c:pt idx="7">
                  <c:v>0</c:v>
                </c:pt>
                <c:pt idx="8">
                  <c:v>1.9</c:v>
                </c:pt>
                <c:pt idx="9">
                  <c:v>1.9</c:v>
                </c:pt>
                <c:pt idx="10">
                  <c:v>0</c:v>
                </c:pt>
                <c:pt idx="12">
                  <c:v>120.65</c:v>
                </c:pt>
                <c:pt idx="13">
                  <c:v>0</c:v>
                </c:pt>
                <c:pt idx="14">
                  <c:v>0</c:v>
                </c:pt>
                <c:pt idx="15">
                  <c:v>120.65</c:v>
                </c:pt>
                <c:pt idx="16">
                  <c:v>120.65</c:v>
                </c:pt>
                <c:pt idx="18">
                  <c:v>1.9</c:v>
                </c:pt>
                <c:pt idx="19">
                  <c:v>118.75</c:v>
                </c:pt>
                <c:pt idx="20">
                  <c:v>118.75</c:v>
                </c:pt>
                <c:pt idx="21">
                  <c:v>1.9</c:v>
                </c:pt>
                <c:pt idx="22">
                  <c:v>1.9</c:v>
                </c:pt>
                <c:pt idx="24">
                  <c:v>118.75</c:v>
                </c:pt>
                <c:pt idx="25">
                  <c:v>35.548065717529553</c:v>
                </c:pt>
                <c:pt idx="26">
                  <c:v>35.548065717529553</c:v>
                </c:pt>
                <c:pt idx="27">
                  <c:v>118.75</c:v>
                </c:pt>
                <c:pt idx="28">
                  <c:v>118.75</c:v>
                </c:pt>
                <c:pt idx="30">
                  <c:v>33.654298627389551</c:v>
                </c:pt>
                <c:pt idx="31">
                  <c:v>29.81285537892925</c:v>
                </c:pt>
                <c:pt idx="32">
                  <c:v>31.706622469069252</c:v>
                </c:pt>
                <c:pt idx="33">
                  <c:v>35.548065717529553</c:v>
                </c:pt>
                <c:pt idx="34">
                  <c:v>33.654298627389551</c:v>
                </c:pt>
                <c:pt idx="36">
                  <c:v>29.81285537892925</c:v>
                </c:pt>
                <c:pt idx="37">
                  <c:v>29.659082142302488</c:v>
                </c:pt>
                <c:pt idx="38">
                  <c:v>67.425725035915377</c:v>
                </c:pt>
                <c:pt idx="39">
                  <c:v>67.579498272542139</c:v>
                </c:pt>
                <c:pt idx="40">
                  <c:v>29.81285537892925</c:v>
                </c:pt>
                <c:pt idx="42">
                  <c:v>38.029786001071884</c:v>
                </c:pt>
                <c:pt idx="43">
                  <c:v>43.074485485083265</c:v>
                </c:pt>
                <c:pt idx="44">
                  <c:v>41.190161894408035</c:v>
                </c:pt>
                <c:pt idx="45">
                  <c:v>36.145462410396654</c:v>
                </c:pt>
                <c:pt idx="46">
                  <c:v>38.029786001071884</c:v>
                </c:pt>
                <c:pt idx="48">
                  <c:v>43.074485485083265</c:v>
                </c:pt>
                <c:pt idx="49">
                  <c:v>106.68201586430816</c:v>
                </c:pt>
                <c:pt idx="50">
                  <c:v>106.59175294260481</c:v>
                </c:pt>
                <c:pt idx="51">
                  <c:v>42.984222563379923</c:v>
                </c:pt>
                <c:pt idx="52">
                  <c:v>43.074485485083265</c:v>
                </c:pt>
                <c:pt idx="54">
                  <c:v>90.611643312677913</c:v>
                </c:pt>
                <c:pt idx="55">
                  <c:v>58.709464221163657</c:v>
                </c:pt>
                <c:pt idx="56">
                  <c:v>58.709464221163657</c:v>
                </c:pt>
                <c:pt idx="57">
                  <c:v>90.611643312677913</c:v>
                </c:pt>
                <c:pt idx="58">
                  <c:v>90.611643312677913</c:v>
                </c:pt>
                <c:pt idx="60">
                  <c:v>88.711643312677907</c:v>
                </c:pt>
                <c:pt idx="61">
                  <c:v>88.711643312677907</c:v>
                </c:pt>
                <c:pt idx="62">
                  <c:v>90.611643312677913</c:v>
                </c:pt>
                <c:pt idx="63">
                  <c:v>90.611643312677913</c:v>
                </c:pt>
                <c:pt idx="64">
                  <c:v>88.711643312677907</c:v>
                </c:pt>
                <c:pt idx="66">
                  <c:v>106.68201586430816</c:v>
                </c:pt>
                <c:pt idx="67">
                  <c:v>104.29487390892749</c:v>
                </c:pt>
                <c:pt idx="68">
                  <c:v>106.1927286465103</c:v>
                </c:pt>
                <c:pt idx="69">
                  <c:v>108.57987060189097</c:v>
                </c:pt>
                <c:pt idx="70">
                  <c:v>106.68201586430816</c:v>
                </c:pt>
              </c:numCache>
            </c:numRef>
          </c:xVal>
          <c:yVal>
            <c:numRef>
              <c:f>Panels!$G$6:$G$95</c:f>
              <c:numCache>
                <c:formatCode>0.0</c:formatCode>
                <c:ptCount val="90"/>
                <c:pt idx="0">
                  <c:v>76.835000000000008</c:v>
                </c:pt>
                <c:pt idx="1">
                  <c:v>0</c:v>
                </c:pt>
                <c:pt idx="2">
                  <c:v>0</c:v>
                </c:pt>
                <c:pt idx="3">
                  <c:v>76.835000000000008</c:v>
                </c:pt>
                <c:pt idx="4">
                  <c:v>76.835000000000008</c:v>
                </c:pt>
                <c:pt idx="6">
                  <c:v>76.835000000000008</c:v>
                </c:pt>
                <c:pt idx="7">
                  <c:v>0</c:v>
                </c:pt>
                <c:pt idx="8">
                  <c:v>0</c:v>
                </c:pt>
                <c:pt idx="9">
                  <c:v>76.835000000000008</c:v>
                </c:pt>
                <c:pt idx="10">
                  <c:v>76.835000000000008</c:v>
                </c:pt>
                <c:pt idx="12">
                  <c:v>76.835000000000008</c:v>
                </c:pt>
                <c:pt idx="13">
                  <c:v>76.835000000000008</c:v>
                </c:pt>
                <c:pt idx="14">
                  <c:v>0</c:v>
                </c:pt>
                <c:pt idx="15">
                  <c:v>0</c:v>
                </c:pt>
                <c:pt idx="16">
                  <c:v>76.835000000000008</c:v>
                </c:pt>
                <c:pt idx="18">
                  <c:v>1.9</c:v>
                </c:pt>
                <c:pt idx="19">
                  <c:v>1.9</c:v>
                </c:pt>
                <c:pt idx="20">
                  <c:v>0</c:v>
                </c:pt>
                <c:pt idx="21">
                  <c:v>0</c:v>
                </c:pt>
                <c:pt idx="22">
                  <c:v>1.9</c:v>
                </c:pt>
                <c:pt idx="24">
                  <c:v>76.835000000000008</c:v>
                </c:pt>
                <c:pt idx="25">
                  <c:v>76.835000000000008</c:v>
                </c:pt>
                <c:pt idx="26">
                  <c:v>74.935000000000002</c:v>
                </c:pt>
                <c:pt idx="27">
                  <c:v>74.935000000000002</c:v>
                </c:pt>
                <c:pt idx="28">
                  <c:v>76.835000000000008</c:v>
                </c:pt>
                <c:pt idx="30">
                  <c:v>76.98877323662677</c:v>
                </c:pt>
                <c:pt idx="31">
                  <c:v>29.68015853775065</c:v>
                </c:pt>
                <c:pt idx="32">
                  <c:v>29.526385301123888</c:v>
                </c:pt>
                <c:pt idx="33">
                  <c:v>76.835000000000008</c:v>
                </c:pt>
                <c:pt idx="34">
                  <c:v>76.98877323662677</c:v>
                </c:pt>
                <c:pt idx="36">
                  <c:v>29.68015853775065</c:v>
                </c:pt>
                <c:pt idx="37">
                  <c:v>27.786391447610647</c:v>
                </c:pt>
                <c:pt idx="38">
                  <c:v>24.719753029129816</c:v>
                </c:pt>
                <c:pt idx="39">
                  <c:v>26.613520119269818</c:v>
                </c:pt>
                <c:pt idx="40">
                  <c:v>29.68015853775065</c:v>
                </c:pt>
                <c:pt idx="42">
                  <c:v>29.012946596280582</c:v>
                </c:pt>
                <c:pt idx="43">
                  <c:v>68.040682321040364</c:v>
                </c:pt>
                <c:pt idx="44">
                  <c:v>68.284248750633637</c:v>
                </c:pt>
                <c:pt idx="45">
                  <c:v>29.256513025873851</c:v>
                </c:pt>
                <c:pt idx="46">
                  <c:v>29.012946596280582</c:v>
                </c:pt>
                <c:pt idx="48">
                  <c:v>68.284248750633637</c:v>
                </c:pt>
                <c:pt idx="49">
                  <c:v>65.25904275321588</c:v>
                </c:pt>
                <c:pt idx="50">
                  <c:v>63.361188015633054</c:v>
                </c:pt>
                <c:pt idx="51">
                  <c:v>66.386394013050818</c:v>
                </c:pt>
                <c:pt idx="52">
                  <c:v>68.284248750633637</c:v>
                </c:pt>
                <c:pt idx="54">
                  <c:v>46.329287296147569</c:v>
                </c:pt>
                <c:pt idx="55">
                  <c:v>46.329287296147569</c:v>
                </c:pt>
                <c:pt idx="56">
                  <c:v>48.229287296147568</c:v>
                </c:pt>
                <c:pt idx="57">
                  <c:v>48.229287296147568</c:v>
                </c:pt>
                <c:pt idx="58">
                  <c:v>46.329287296147569</c:v>
                </c:pt>
                <c:pt idx="60">
                  <c:v>1.9</c:v>
                </c:pt>
                <c:pt idx="61">
                  <c:v>46.329287296147569</c:v>
                </c:pt>
                <c:pt idx="62">
                  <c:v>46.329287296147569</c:v>
                </c:pt>
                <c:pt idx="63">
                  <c:v>1.9</c:v>
                </c:pt>
                <c:pt idx="64">
                  <c:v>1.9</c:v>
                </c:pt>
                <c:pt idx="66">
                  <c:v>65.25904275321588</c:v>
                </c:pt>
                <c:pt idx="67">
                  <c:v>15.067351815142317</c:v>
                </c:pt>
                <c:pt idx="68">
                  <c:v>14.977088893438969</c:v>
                </c:pt>
                <c:pt idx="69">
                  <c:v>65.168779831512538</c:v>
                </c:pt>
                <c:pt idx="70">
                  <c:v>65.25904275321588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A2-404D-8200-B0EDD255A260}"/>
            </c:ext>
          </c:extLst>
        </c:ser>
        <c:ser>
          <c:idx val="5"/>
          <c:order val="1"/>
          <c:tx>
            <c:v>Sample Points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Path!$G$19:$G$168</c:f>
              <c:numCache>
                <c:formatCode>0.0</c:formatCode>
                <c:ptCount val="15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5">
                  <c:v>0</c:v>
                </c:pt>
                <c:pt idx="106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0</c:v>
                </c:pt>
                <c:pt idx="112">
                  <c:v>0</c:v>
                </c:pt>
                <c:pt idx="114">
                  <c:v>0</c:v>
                </c:pt>
                <c:pt idx="115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6">
                  <c:v>0</c:v>
                </c:pt>
                <c:pt idx="127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0</c:v>
                </c:pt>
                <c:pt idx="133">
                  <c:v>0</c:v>
                </c:pt>
                <c:pt idx="135">
                  <c:v>0</c:v>
                </c:pt>
                <c:pt idx="136">
                  <c:v>0</c:v>
                </c:pt>
                <c:pt idx="138">
                  <c:v>0</c:v>
                </c:pt>
                <c:pt idx="139">
                  <c:v>0</c:v>
                </c:pt>
                <c:pt idx="141">
                  <c:v>0</c:v>
                </c:pt>
                <c:pt idx="142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xVal>
          <c:yVal>
            <c:numRef>
              <c:f>Path!$H$19:$H$168</c:f>
              <c:numCache>
                <c:formatCode>0.0</c:formatCode>
                <c:ptCount val="15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5">
                  <c:v>0</c:v>
                </c:pt>
                <c:pt idx="106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0</c:v>
                </c:pt>
                <c:pt idx="112">
                  <c:v>0</c:v>
                </c:pt>
                <c:pt idx="114">
                  <c:v>0</c:v>
                </c:pt>
                <c:pt idx="115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6">
                  <c:v>0</c:v>
                </c:pt>
                <c:pt idx="127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0</c:v>
                </c:pt>
                <c:pt idx="133">
                  <c:v>0</c:v>
                </c:pt>
                <c:pt idx="135">
                  <c:v>0</c:v>
                </c:pt>
                <c:pt idx="136">
                  <c:v>0</c:v>
                </c:pt>
                <c:pt idx="138">
                  <c:v>0</c:v>
                </c:pt>
                <c:pt idx="139">
                  <c:v>0</c:v>
                </c:pt>
                <c:pt idx="141">
                  <c:v>0</c:v>
                </c:pt>
                <c:pt idx="142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A2-404D-8200-B0EDD255A260}"/>
            </c:ext>
          </c:extLst>
        </c:ser>
        <c:ser>
          <c:idx val="6"/>
          <c:order val="2"/>
          <c:tx>
            <c:v>Driver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Panels!$V$86:$V$101</c:f>
              <c:numCache>
                <c:formatCode>0.0</c:formatCode>
                <c:ptCount val="16"/>
                <c:pt idx="0">
                  <c:v>32.807386829029362</c:v>
                </c:pt>
                <c:pt idx="1">
                  <c:v>31.269654462761739</c:v>
                </c:pt>
                <c:pt idx="2">
                  <c:v>15.122798220515406</c:v>
                </c:pt>
                <c:pt idx="3">
                  <c:v>15.810731121214081</c:v>
                </c:pt>
                <c:pt idx="4">
                  <c:v>21.791048247971982</c:v>
                </c:pt>
                <c:pt idx="5">
                  <c:v>32.718360218350711</c:v>
                </c:pt>
                <c:pt idx="7">
                  <c:v>29.731922096494113</c:v>
                </c:pt>
                <c:pt idx="8">
                  <c:v>31.269654462761739</c:v>
                </c:pt>
                <c:pt idx="9">
                  <c:v>15.122798220515406</c:v>
                </c:pt>
                <c:pt idx="10">
                  <c:v>14.434865319816732</c:v>
                </c:pt>
                <c:pt idx="11">
                  <c:v>20.415182446574633</c:v>
                </c:pt>
                <c:pt idx="12">
                  <c:v>29.820948707172764</c:v>
                </c:pt>
                <c:pt idx="14">
                  <c:v>20.415182446574633</c:v>
                </c:pt>
                <c:pt idx="15">
                  <c:v>21.791048247971982</c:v>
                </c:pt>
              </c:numCache>
            </c:numRef>
          </c:xVal>
          <c:yVal>
            <c:numRef>
              <c:f>Panels!$W$86:$W$101</c:f>
              <c:numCache>
                <c:formatCode>0.0</c:formatCode>
                <c:ptCount val="16"/>
                <c:pt idx="0">
                  <c:v>66.558780819424356</c:v>
                </c:pt>
                <c:pt idx="1">
                  <c:v>47.621109918024345</c:v>
                </c:pt>
                <c:pt idx="2">
                  <c:v>48.93222909347358</c:v>
                </c:pt>
                <c:pt idx="3">
                  <c:v>57.40434502304727</c:v>
                </c:pt>
                <c:pt idx="4">
                  <c:v>56.918745328436444</c:v>
                </c:pt>
                <c:pt idx="5">
                  <c:v>65.462389346185418</c:v>
                </c:pt>
                <c:pt idx="7">
                  <c:v>28.683439016624327</c:v>
                </c:pt>
                <c:pt idx="8">
                  <c:v>47.621109918024345</c:v>
                </c:pt>
                <c:pt idx="9">
                  <c:v>48.93222909347358</c:v>
                </c:pt>
                <c:pt idx="10">
                  <c:v>40.460113163899891</c:v>
                </c:pt>
                <c:pt idx="11">
                  <c:v>39.974513469289064</c:v>
                </c:pt>
                <c:pt idx="12">
                  <c:v>29.779830489863276</c:v>
                </c:pt>
                <c:pt idx="14">
                  <c:v>39.974513469289064</c:v>
                </c:pt>
                <c:pt idx="15">
                  <c:v>56.918745328436444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A2-404D-8200-B0EDD255A260}"/>
            </c:ext>
          </c:extLst>
        </c:ser>
        <c:ser>
          <c:idx val="2"/>
          <c:order val="3"/>
          <c:tx>
            <c:v>Adv Centerline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Path!$K$19:$K$168</c:f>
              <c:numCache>
                <c:formatCode>0.0</c:formatCode>
                <c:ptCount val="150"/>
                <c:pt idx="3">
                  <c:v>33.919003093207976</c:v>
                </c:pt>
                <c:pt idx="4">
                  <c:v>33.919003093207976</c:v>
                </c:pt>
                <c:pt idx="5">
                  <c:v>33.919003093207976</c:v>
                </c:pt>
                <c:pt idx="6">
                  <c:v>33.924522355317222</c:v>
                </c:pt>
                <c:pt idx="7">
                  <c:v>33.924522355317222</c:v>
                </c:pt>
                <c:pt idx="8">
                  <c:v>33.924522355317222</c:v>
                </c:pt>
                <c:pt idx="9">
                  <c:v>35.795619092141031</c:v>
                </c:pt>
                <c:pt idx="10">
                  <c:v>35.795619092141031</c:v>
                </c:pt>
                <c:pt idx="11">
                  <c:v>35.795619092141031</c:v>
                </c:pt>
                <c:pt idx="12">
                  <c:v>38.048781292343989</c:v>
                </c:pt>
                <c:pt idx="13">
                  <c:v>38.048781292343989</c:v>
                </c:pt>
                <c:pt idx="14">
                  <c:v>38.048781292343989</c:v>
                </c:pt>
                <c:pt idx="15">
                  <c:v>38.170504239999701</c:v>
                </c:pt>
                <c:pt idx="16">
                  <c:v>38.170504239999701</c:v>
                </c:pt>
                <c:pt idx="17">
                  <c:v>38.170504239999701</c:v>
                </c:pt>
                <c:pt idx="18">
                  <c:v>39.819143492501482</c:v>
                </c:pt>
                <c:pt idx="19">
                  <c:v>39.819143492501482</c:v>
                </c:pt>
                <c:pt idx="20">
                  <c:v>39.819143492501482</c:v>
                </c:pt>
                <c:pt idx="21">
                  <c:v>41.269173179034176</c:v>
                </c:pt>
                <c:pt idx="22">
                  <c:v>41.269173179034176</c:v>
                </c:pt>
                <c:pt idx="23">
                  <c:v>41.269173179034176</c:v>
                </c:pt>
                <c:pt idx="24">
                  <c:v>43.153496769709406</c:v>
                </c:pt>
                <c:pt idx="25">
                  <c:v>43.153496769709406</c:v>
                </c:pt>
                <c:pt idx="26">
                  <c:v>43.153496769709406</c:v>
                </c:pt>
                <c:pt idx="27">
                  <c:v>108.69589382581285</c:v>
                </c:pt>
                <c:pt idx="28">
                  <c:v>108.69589382581285</c:v>
                </c:pt>
                <c:pt idx="29">
                  <c:v>108.69589382581285</c:v>
                </c:pt>
                <c:pt idx="30">
                  <c:v>111.18041456337917</c:v>
                </c:pt>
                <c:pt idx="31">
                  <c:v>111.18041456337917</c:v>
                </c:pt>
                <c:pt idx="32">
                  <c:v>111.18041456337917</c:v>
                </c:pt>
                <c:pt idx="33">
                  <c:v>113.66493530094549</c:v>
                </c:pt>
                <c:pt idx="34">
                  <c:v>113.66493530094549</c:v>
                </c:pt>
                <c:pt idx="35">
                  <c:v>113.66493530094549</c:v>
                </c:pt>
                <c:pt idx="36">
                  <c:v>113.66493530094549</c:v>
                </c:pt>
                <c:pt idx="37">
                  <c:v>113.66493530094549</c:v>
                </c:pt>
                <c:pt idx="38">
                  <c:v>113.66493530094549</c:v>
                </c:pt>
                <c:pt idx="39">
                  <c:v>112.47136432325516</c:v>
                </c:pt>
                <c:pt idx="40">
                  <c:v>112.47136432325516</c:v>
                </c:pt>
                <c:pt idx="41">
                  <c:v>112.47136432325516</c:v>
                </c:pt>
                <c:pt idx="42">
                  <c:v>112.47136432325516</c:v>
                </c:pt>
                <c:pt idx="43">
                  <c:v>112.47136432325516</c:v>
                </c:pt>
                <c:pt idx="44">
                  <c:v>112.47136432325516</c:v>
                </c:pt>
                <c:pt idx="45">
                  <c:v>109.33204648488274</c:v>
                </c:pt>
                <c:pt idx="46">
                  <c:v>109.33204648488274</c:v>
                </c:pt>
                <c:pt idx="47">
                  <c:v>109.33204648488274</c:v>
                </c:pt>
                <c:pt idx="48">
                  <c:v>106.03737212302894</c:v>
                </c:pt>
                <c:pt idx="49">
                  <c:v>106.03737212302894</c:v>
                </c:pt>
                <c:pt idx="50">
                  <c:v>106.03737212302894</c:v>
                </c:pt>
                <c:pt idx="51">
                  <c:v>104.13844505705336</c:v>
                </c:pt>
                <c:pt idx="52">
                  <c:v>104.13844505705336</c:v>
                </c:pt>
                <c:pt idx="53">
                  <c:v>104.13844505705336</c:v>
                </c:pt>
                <c:pt idx="54">
                  <c:v>100.79585183392803</c:v>
                </c:pt>
                <c:pt idx="55">
                  <c:v>100.79585183392803</c:v>
                </c:pt>
                <c:pt idx="56">
                  <c:v>100.79585183392803</c:v>
                </c:pt>
                <c:pt idx="57">
                  <c:v>97.453258610802692</c:v>
                </c:pt>
                <c:pt idx="58">
                  <c:v>97.453258610802692</c:v>
                </c:pt>
                <c:pt idx="59">
                  <c:v>97.453258610802692</c:v>
                </c:pt>
                <c:pt idx="60">
                  <c:v>98.233242575410543</c:v>
                </c:pt>
                <c:pt idx="61">
                  <c:v>98.233242575410543</c:v>
                </c:pt>
                <c:pt idx="62">
                  <c:v>98.233242575410543</c:v>
                </c:pt>
                <c:pt idx="63">
                  <c:v>98.417470351525949</c:v>
                </c:pt>
                <c:pt idx="64">
                  <c:v>98.417470351525949</c:v>
                </c:pt>
                <c:pt idx="65">
                  <c:v>98.417470351525949</c:v>
                </c:pt>
                <c:pt idx="66">
                  <c:v>94.70098921430926</c:v>
                </c:pt>
                <c:pt idx="67">
                  <c:v>94.70098921430926</c:v>
                </c:pt>
                <c:pt idx="68">
                  <c:v>94.70098921430926</c:v>
                </c:pt>
                <c:pt idx="69">
                  <c:v>90.800280300977178</c:v>
                </c:pt>
                <c:pt idx="70">
                  <c:v>90.800280300977178</c:v>
                </c:pt>
                <c:pt idx="71">
                  <c:v>90.800280300977178</c:v>
                </c:pt>
                <c:pt idx="72">
                  <c:v>58.91611135310265</c:v>
                </c:pt>
                <c:pt idx="73">
                  <c:v>58.91611135310265</c:v>
                </c:pt>
                <c:pt idx="74">
                  <c:v>58.91611135310265</c:v>
                </c:pt>
                <c:pt idx="75">
                  <c:v>54.881477372687222</c:v>
                </c:pt>
                <c:pt idx="76">
                  <c:v>54.881477372687222</c:v>
                </c:pt>
                <c:pt idx="77">
                  <c:v>54.881477372687222</c:v>
                </c:pt>
                <c:pt idx="78">
                  <c:v>50.236035759811344</c:v>
                </c:pt>
                <c:pt idx="79">
                  <c:v>50.236035759811344</c:v>
                </c:pt>
                <c:pt idx="80">
                  <c:v>50.236035759811344</c:v>
                </c:pt>
                <c:pt idx="81">
                  <c:v>49.686635267590759</c:v>
                </c:pt>
                <c:pt idx="82">
                  <c:v>49.686635267590759</c:v>
                </c:pt>
                <c:pt idx="83">
                  <c:v>49.686635267590759</c:v>
                </c:pt>
                <c:pt idx="84">
                  <c:v>49.564852052794123</c:v>
                </c:pt>
                <c:pt idx="85">
                  <c:v>49.564852052794123</c:v>
                </c:pt>
                <c:pt idx="86">
                  <c:v>49.564852052794123</c:v>
                </c:pt>
                <c:pt idx="87">
                  <c:v>48.967238581955947</c:v>
                </c:pt>
                <c:pt idx="88">
                  <c:v>48.967238581955947</c:v>
                </c:pt>
                <c:pt idx="89">
                  <c:v>48.967238581955947</c:v>
                </c:pt>
                <c:pt idx="90">
                  <c:v>53.347689132717093</c:v>
                </c:pt>
                <c:pt idx="91">
                  <c:v>53.347689132717093</c:v>
                </c:pt>
                <c:pt idx="92">
                  <c:v>53.347689132717093</c:v>
                </c:pt>
                <c:pt idx="93">
                  <c:v>58.325753154316409</c:v>
                </c:pt>
                <c:pt idx="94">
                  <c:v>58.325753154316409</c:v>
                </c:pt>
                <c:pt idx="95">
                  <c:v>58.325753154316409</c:v>
                </c:pt>
                <c:pt idx="96">
                  <c:v>67.978741272311538</c:v>
                </c:pt>
                <c:pt idx="97">
                  <c:v>67.978741272311538</c:v>
                </c:pt>
                <c:pt idx="98">
                  <c:v>67.978741272311538</c:v>
                </c:pt>
                <c:pt idx="99">
                  <c:v>73.062156032460777</c:v>
                </c:pt>
                <c:pt idx="100">
                  <c:v>73.062156032460777</c:v>
                </c:pt>
                <c:pt idx="101">
                  <c:v>73.062156032460777</c:v>
                </c:pt>
                <c:pt idx="102">
                  <c:v>78.145570792610016</c:v>
                </c:pt>
                <c:pt idx="103">
                  <c:v>78.145570792610016</c:v>
                </c:pt>
                <c:pt idx="104">
                  <c:v>78.145570792610016</c:v>
                </c:pt>
                <c:pt idx="105">
                  <c:v>78.145570792610016</c:v>
                </c:pt>
                <c:pt idx="106">
                  <c:v>78.145570792610016</c:v>
                </c:pt>
                <c:pt idx="107">
                  <c:v>78.145570792610016</c:v>
                </c:pt>
                <c:pt idx="108">
                  <c:v>78.068684174296635</c:v>
                </c:pt>
                <c:pt idx="109">
                  <c:v>78.068684174296635</c:v>
                </c:pt>
                <c:pt idx="110">
                  <c:v>78.068684174296635</c:v>
                </c:pt>
                <c:pt idx="111">
                  <c:v>78.068684174296635</c:v>
                </c:pt>
                <c:pt idx="112">
                  <c:v>78.068684174296635</c:v>
                </c:pt>
                <c:pt idx="113">
                  <c:v>78.068684174296635</c:v>
                </c:pt>
                <c:pt idx="114">
                  <c:v>72.747204605106006</c:v>
                </c:pt>
                <c:pt idx="115">
                  <c:v>72.747204605106006</c:v>
                </c:pt>
                <c:pt idx="116">
                  <c:v>72.747204605106006</c:v>
                </c:pt>
                <c:pt idx="117">
                  <c:v>66.963626525032623</c:v>
                </c:pt>
                <c:pt idx="118">
                  <c:v>66.963626525032623</c:v>
                </c:pt>
                <c:pt idx="119">
                  <c:v>66.963626525032623</c:v>
                </c:pt>
                <c:pt idx="120">
                  <c:v>29.134884403404993</c:v>
                </c:pt>
                <c:pt idx="121">
                  <c:v>29.134884403404993</c:v>
                </c:pt>
                <c:pt idx="122">
                  <c:v>29.134884403404993</c:v>
                </c:pt>
                <c:pt idx="123">
                  <c:v>22.45721273727812</c:v>
                </c:pt>
                <c:pt idx="124">
                  <c:v>22.45721273727812</c:v>
                </c:pt>
                <c:pt idx="125">
                  <c:v>22.45721273727812</c:v>
                </c:pt>
                <c:pt idx="126">
                  <c:v>15.779541071151243</c:v>
                </c:pt>
                <c:pt idx="127">
                  <c:v>15.779541071151243</c:v>
                </c:pt>
                <c:pt idx="128">
                  <c:v>15.779541071151243</c:v>
                </c:pt>
                <c:pt idx="129">
                  <c:v>15.779541071151243</c:v>
                </c:pt>
                <c:pt idx="130">
                  <c:v>15.779541071151243</c:v>
                </c:pt>
                <c:pt idx="131">
                  <c:v>15.779541071151243</c:v>
                </c:pt>
                <c:pt idx="132">
                  <c:v>15.856427689464624</c:v>
                </c:pt>
                <c:pt idx="133">
                  <c:v>15.856427689464624</c:v>
                </c:pt>
                <c:pt idx="134">
                  <c:v>15.856427689464624</c:v>
                </c:pt>
                <c:pt idx="135">
                  <c:v>15.856427689464624</c:v>
                </c:pt>
                <c:pt idx="136">
                  <c:v>15.856427689464624</c:v>
                </c:pt>
                <c:pt idx="137">
                  <c:v>15.856427689464624</c:v>
                </c:pt>
                <c:pt idx="138">
                  <c:v>16.584827231380864</c:v>
                </c:pt>
                <c:pt idx="139">
                  <c:v>16.584827231380864</c:v>
                </c:pt>
                <c:pt idx="140">
                  <c:v>16.584827231380864</c:v>
                </c:pt>
                <c:pt idx="141">
                  <c:v>17.718841974401442</c:v>
                </c:pt>
                <c:pt idx="142">
                  <c:v>17.718841974401442</c:v>
                </c:pt>
                <c:pt idx="143">
                  <c:v>17.718841974401442</c:v>
                </c:pt>
                <c:pt idx="144">
                  <c:v>17.747995644048107</c:v>
                </c:pt>
                <c:pt idx="145">
                  <c:v>17.747995644048107</c:v>
                </c:pt>
                <c:pt idx="146">
                  <c:v>17.747995644048107</c:v>
                </c:pt>
              </c:numCache>
            </c:numRef>
          </c:xVal>
          <c:yVal>
            <c:numRef>
              <c:f>Path!$L$19:$L$168</c:f>
              <c:numCache>
                <c:formatCode>0.0</c:formatCode>
                <c:ptCount val="150"/>
                <c:pt idx="3">
                  <c:v>29.346770652005752</c:v>
                </c:pt>
                <c:pt idx="4">
                  <c:v>29.346770652005752</c:v>
                </c:pt>
                <c:pt idx="5">
                  <c:v>29.346770652005752</c:v>
                </c:pt>
                <c:pt idx="6">
                  <c:v>29.399250367756981</c:v>
                </c:pt>
                <c:pt idx="7">
                  <c:v>29.399250367756981</c:v>
                </c:pt>
                <c:pt idx="8">
                  <c:v>29.399250367756981</c:v>
                </c:pt>
                <c:pt idx="9">
                  <c:v>47.190509950642422</c:v>
                </c:pt>
                <c:pt idx="10">
                  <c:v>47.190509950642422</c:v>
                </c:pt>
                <c:pt idx="11">
                  <c:v>47.190509950642422</c:v>
                </c:pt>
                <c:pt idx="12">
                  <c:v>68.614625976948616</c:v>
                </c:pt>
                <c:pt idx="13">
                  <c:v>68.614625976948616</c:v>
                </c:pt>
                <c:pt idx="14">
                  <c:v>68.614625976948616</c:v>
                </c:pt>
                <c:pt idx="15">
                  <c:v>70.112125176132722</c:v>
                </c:pt>
                <c:pt idx="16">
                  <c:v>70.112125176132722</c:v>
                </c:pt>
                <c:pt idx="17">
                  <c:v>70.112125176132722</c:v>
                </c:pt>
                <c:pt idx="18">
                  <c:v>71.609624375316827</c:v>
                </c:pt>
                <c:pt idx="19">
                  <c:v>71.609624375316827</c:v>
                </c:pt>
                <c:pt idx="20">
                  <c:v>71.609624375316827</c:v>
                </c:pt>
                <c:pt idx="21">
                  <c:v>71.609624375316827</c:v>
                </c:pt>
                <c:pt idx="22">
                  <c:v>71.609624375316827</c:v>
                </c:pt>
                <c:pt idx="23">
                  <c:v>71.609624375316827</c:v>
                </c:pt>
                <c:pt idx="24">
                  <c:v>71.609624375316827</c:v>
                </c:pt>
                <c:pt idx="25">
                  <c:v>71.609624375316827</c:v>
                </c:pt>
                <c:pt idx="26">
                  <c:v>71.609624375316827</c:v>
                </c:pt>
                <c:pt idx="27">
                  <c:v>70.051889915756277</c:v>
                </c:pt>
                <c:pt idx="28">
                  <c:v>70.051889915756277</c:v>
                </c:pt>
                <c:pt idx="29">
                  <c:v>70.051889915756277</c:v>
                </c:pt>
                <c:pt idx="30">
                  <c:v>70.051889915756277</c:v>
                </c:pt>
                <c:pt idx="31">
                  <c:v>70.051889915756277</c:v>
                </c:pt>
                <c:pt idx="32">
                  <c:v>70.051889915756277</c:v>
                </c:pt>
                <c:pt idx="33">
                  <c:v>67.6103348736344</c:v>
                </c:pt>
                <c:pt idx="34">
                  <c:v>67.6103348736344</c:v>
                </c:pt>
                <c:pt idx="35">
                  <c:v>67.6103348736344</c:v>
                </c:pt>
                <c:pt idx="36">
                  <c:v>65.047958144092604</c:v>
                </c:pt>
                <c:pt idx="37">
                  <c:v>65.047958144092604</c:v>
                </c:pt>
                <c:pt idx="38">
                  <c:v>65.047958144092604</c:v>
                </c:pt>
                <c:pt idx="39">
                  <c:v>14.856267206019034</c:v>
                </c:pt>
                <c:pt idx="40">
                  <c:v>14.856267206019034</c:v>
                </c:pt>
                <c:pt idx="41">
                  <c:v>14.856267206019034</c:v>
                </c:pt>
                <c:pt idx="42">
                  <c:v>11.647405826369258</c:v>
                </c:pt>
                <c:pt idx="43">
                  <c:v>11.647405826369258</c:v>
                </c:pt>
                <c:pt idx="44">
                  <c:v>11.647405826369258</c:v>
                </c:pt>
                <c:pt idx="45">
                  <c:v>8.4385444467194848</c:v>
                </c:pt>
                <c:pt idx="46">
                  <c:v>8.4385444467194848</c:v>
                </c:pt>
                <c:pt idx="47">
                  <c:v>8.4385444467194848</c:v>
                </c:pt>
                <c:pt idx="48">
                  <c:v>8.4385444467194848</c:v>
                </c:pt>
                <c:pt idx="49">
                  <c:v>8.4385444467194848</c:v>
                </c:pt>
                <c:pt idx="50">
                  <c:v>8.4385444467194848</c:v>
                </c:pt>
                <c:pt idx="51">
                  <c:v>8.4836759075711576</c:v>
                </c:pt>
                <c:pt idx="52">
                  <c:v>8.4836759075711576</c:v>
                </c:pt>
                <c:pt idx="53">
                  <c:v>8.4836759075711576</c:v>
                </c:pt>
                <c:pt idx="54">
                  <c:v>8.4836759075711576</c:v>
                </c:pt>
                <c:pt idx="55">
                  <c:v>8.4836759075711576</c:v>
                </c:pt>
                <c:pt idx="56">
                  <c:v>8.4836759075711576</c:v>
                </c:pt>
                <c:pt idx="57">
                  <c:v>15.150488958215373</c:v>
                </c:pt>
                <c:pt idx="58">
                  <c:v>15.150488958215373</c:v>
                </c:pt>
                <c:pt idx="59">
                  <c:v>15.150488958215373</c:v>
                </c:pt>
                <c:pt idx="60">
                  <c:v>48.048146134876035</c:v>
                </c:pt>
                <c:pt idx="61">
                  <c:v>48.048146134876035</c:v>
                </c:pt>
                <c:pt idx="62">
                  <c:v>48.048146134876035</c:v>
                </c:pt>
                <c:pt idx="63">
                  <c:v>51.921691895383177</c:v>
                </c:pt>
                <c:pt idx="64">
                  <c:v>51.921691895383177</c:v>
                </c:pt>
                <c:pt idx="65">
                  <c:v>51.921691895383177</c:v>
                </c:pt>
                <c:pt idx="66">
                  <c:v>55.980757325156446</c:v>
                </c:pt>
                <c:pt idx="67">
                  <c:v>55.980757325156446</c:v>
                </c:pt>
                <c:pt idx="68">
                  <c:v>55.980757325156446</c:v>
                </c:pt>
                <c:pt idx="69">
                  <c:v>56.166276994422589</c:v>
                </c:pt>
                <c:pt idx="70">
                  <c:v>56.166276994422589</c:v>
                </c:pt>
                <c:pt idx="71">
                  <c:v>56.166276994422589</c:v>
                </c:pt>
                <c:pt idx="72">
                  <c:v>56.924062229555176</c:v>
                </c:pt>
                <c:pt idx="73">
                  <c:v>56.924062229555176</c:v>
                </c:pt>
                <c:pt idx="74">
                  <c:v>56.924062229555176</c:v>
                </c:pt>
                <c:pt idx="75">
                  <c:v>57.11595144207719</c:v>
                </c:pt>
                <c:pt idx="76">
                  <c:v>57.11595144207719</c:v>
                </c:pt>
                <c:pt idx="77">
                  <c:v>57.11595144207719</c:v>
                </c:pt>
                <c:pt idx="78">
                  <c:v>53.060387666294474</c:v>
                </c:pt>
                <c:pt idx="79">
                  <c:v>53.060387666294474</c:v>
                </c:pt>
                <c:pt idx="80">
                  <c:v>53.060387666294474</c:v>
                </c:pt>
                <c:pt idx="81">
                  <c:v>48.810014123649253</c:v>
                </c:pt>
                <c:pt idx="82">
                  <c:v>48.810014123649253</c:v>
                </c:pt>
                <c:pt idx="83">
                  <c:v>48.810014123649253</c:v>
                </c:pt>
                <c:pt idx="84">
                  <c:v>46.917852328311639</c:v>
                </c:pt>
                <c:pt idx="85">
                  <c:v>46.917852328311639</c:v>
                </c:pt>
                <c:pt idx="86">
                  <c:v>46.917852328311639</c:v>
                </c:pt>
                <c:pt idx="87">
                  <c:v>42.294484637262855</c:v>
                </c:pt>
                <c:pt idx="88">
                  <c:v>42.294484637262855</c:v>
                </c:pt>
                <c:pt idx="89">
                  <c:v>42.294484637262855</c:v>
                </c:pt>
                <c:pt idx="90">
                  <c:v>37.266899859159302</c:v>
                </c:pt>
                <c:pt idx="91">
                  <c:v>37.266899859159302</c:v>
                </c:pt>
                <c:pt idx="92">
                  <c:v>37.266899859159302</c:v>
                </c:pt>
                <c:pt idx="93">
                  <c:v>36.862682772104527</c:v>
                </c:pt>
                <c:pt idx="94">
                  <c:v>36.862682772104527</c:v>
                </c:pt>
                <c:pt idx="95">
                  <c:v>36.862682772104527</c:v>
                </c:pt>
                <c:pt idx="96">
                  <c:v>36.471403707708696</c:v>
                </c:pt>
                <c:pt idx="97">
                  <c:v>36.471403707708696</c:v>
                </c:pt>
                <c:pt idx="98">
                  <c:v>36.471403707708696</c:v>
                </c:pt>
                <c:pt idx="99">
                  <c:v>36.471403707708696</c:v>
                </c:pt>
                <c:pt idx="100">
                  <c:v>36.471403707708696</c:v>
                </c:pt>
                <c:pt idx="101">
                  <c:v>36.471403707708696</c:v>
                </c:pt>
                <c:pt idx="102">
                  <c:v>31.32849963391638</c:v>
                </c:pt>
                <c:pt idx="103">
                  <c:v>31.32849963391638</c:v>
                </c:pt>
                <c:pt idx="104">
                  <c:v>31.32849963391638</c:v>
                </c:pt>
                <c:pt idx="105">
                  <c:v>26.185595560124071</c:v>
                </c:pt>
                <c:pt idx="106">
                  <c:v>26.185595560124071</c:v>
                </c:pt>
                <c:pt idx="107">
                  <c:v>26.185595560124071</c:v>
                </c:pt>
                <c:pt idx="108">
                  <c:v>24.291828469984068</c:v>
                </c:pt>
                <c:pt idx="109">
                  <c:v>24.291828469984068</c:v>
                </c:pt>
                <c:pt idx="110">
                  <c:v>24.291828469984068</c:v>
                </c:pt>
                <c:pt idx="111">
                  <c:v>18.800852492274487</c:v>
                </c:pt>
                <c:pt idx="112">
                  <c:v>18.800852492274487</c:v>
                </c:pt>
                <c:pt idx="113">
                  <c:v>18.800852492274487</c:v>
                </c:pt>
                <c:pt idx="114">
                  <c:v>13.309876514564907</c:v>
                </c:pt>
                <c:pt idx="115">
                  <c:v>13.309876514564907</c:v>
                </c:pt>
                <c:pt idx="116">
                  <c:v>13.309876514564907</c:v>
                </c:pt>
                <c:pt idx="117">
                  <c:v>13.309876514564907</c:v>
                </c:pt>
                <c:pt idx="118">
                  <c:v>13.309876514564907</c:v>
                </c:pt>
                <c:pt idx="119">
                  <c:v>13.309876514564907</c:v>
                </c:pt>
                <c:pt idx="120">
                  <c:v>14.843195723805323</c:v>
                </c:pt>
                <c:pt idx="121">
                  <c:v>14.843195723805323</c:v>
                </c:pt>
                <c:pt idx="122">
                  <c:v>14.843195723805323</c:v>
                </c:pt>
                <c:pt idx="123">
                  <c:v>14.843195723805323</c:v>
                </c:pt>
                <c:pt idx="124">
                  <c:v>14.843195723805323</c:v>
                </c:pt>
                <c:pt idx="125">
                  <c:v>14.843195723805323</c:v>
                </c:pt>
                <c:pt idx="126">
                  <c:v>21.314793585707985</c:v>
                </c:pt>
                <c:pt idx="127">
                  <c:v>21.314793585707985</c:v>
                </c:pt>
                <c:pt idx="128">
                  <c:v>21.314793585707985</c:v>
                </c:pt>
                <c:pt idx="129">
                  <c:v>28.348511050967254</c:v>
                </c:pt>
                <c:pt idx="130">
                  <c:v>28.348511050967254</c:v>
                </c:pt>
                <c:pt idx="131">
                  <c:v>28.348511050967254</c:v>
                </c:pt>
                <c:pt idx="132">
                  <c:v>30.245392039122201</c:v>
                </c:pt>
                <c:pt idx="133">
                  <c:v>30.245392039122201</c:v>
                </c:pt>
                <c:pt idx="134">
                  <c:v>30.245392039122201</c:v>
                </c:pt>
                <c:pt idx="135">
                  <c:v>30.245392039122201</c:v>
                </c:pt>
                <c:pt idx="136">
                  <c:v>30.245392039122201</c:v>
                </c:pt>
                <c:pt idx="137">
                  <c:v>30.245392039122201</c:v>
                </c:pt>
                <c:pt idx="138">
                  <c:v>48.215843505853215</c:v>
                </c:pt>
                <c:pt idx="139">
                  <c:v>48.215843505853215</c:v>
                </c:pt>
                <c:pt idx="140">
                  <c:v>48.215843505853215</c:v>
                </c:pt>
                <c:pt idx="141">
                  <c:v>76.193812896971707</c:v>
                </c:pt>
                <c:pt idx="142">
                  <c:v>76.193812896971707</c:v>
                </c:pt>
                <c:pt idx="143">
                  <c:v>76.193812896971707</c:v>
                </c:pt>
                <c:pt idx="144">
                  <c:v>76.91306830765663</c:v>
                </c:pt>
                <c:pt idx="145">
                  <c:v>76.91306830765663</c:v>
                </c:pt>
                <c:pt idx="146">
                  <c:v>76.91306830765663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FA2-404D-8200-B0EDD255A260}"/>
            </c:ext>
          </c:extLst>
        </c:ser>
        <c:ser>
          <c:idx val="0"/>
          <c:order val="4"/>
          <c:tx>
            <c:v>Axes</c:v>
          </c:tx>
          <c:spPr>
            <a:ln>
              <a:noFill/>
            </a:ln>
          </c:spPr>
          <c:marker>
            <c:symbol val="none"/>
          </c:marker>
          <c:xVal>
            <c:numRef>
              <c:f>Panels!$S$106:$S$110</c:f>
              <c:numCache>
                <c:formatCode>0.0</c:formatCode>
                <c:ptCount val="5"/>
                <c:pt idx="0">
                  <c:v>-5</c:v>
                </c:pt>
                <c:pt idx="1">
                  <c:v>-5</c:v>
                </c:pt>
                <c:pt idx="3">
                  <c:v>-5</c:v>
                </c:pt>
                <c:pt idx="4">
                  <c:v>120.65</c:v>
                </c:pt>
              </c:numCache>
            </c:numRef>
          </c:xVal>
          <c:yVal>
            <c:numRef>
              <c:f>Panels!$T$106:$T$110</c:f>
              <c:numCache>
                <c:formatCode>0.0</c:formatCode>
                <c:ptCount val="5"/>
                <c:pt idx="0">
                  <c:v>-5</c:v>
                </c:pt>
                <c:pt idx="1">
                  <c:v>120.65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FA2-404D-8200-B0EDD255A260}"/>
            </c:ext>
          </c:extLst>
        </c:ser>
        <c:ser>
          <c:idx val="3"/>
          <c:order val="5"/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Guides!$F$2:$F$31</c:f>
              <c:numCache>
                <c:formatCode>0.0</c:formatCode>
                <c:ptCount val="3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Guides!$G$2:$G$31</c:f>
              <c:numCache>
                <c:formatCode>0.0</c:formatCode>
                <c:ptCount val="3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FA2-404D-8200-B0EDD255A260}"/>
            </c:ext>
          </c:extLst>
        </c:ser>
        <c:ser>
          <c:idx val="4"/>
          <c:order val="6"/>
          <c:tx>
            <c:v>Cone Compensation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Path!$AP$62:$AP$64</c:f>
              <c:numCache>
                <c:formatCode>0.0</c:formatCode>
                <c:ptCount val="3"/>
              </c:numCache>
            </c:numRef>
          </c:xVal>
          <c:yVal>
            <c:numRef>
              <c:f>Path!$AQ$62:$AQ$64</c:f>
              <c:numCache>
                <c:formatCode>0.0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FA2-404D-8200-B0EDD255A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211224"/>
        <c:axId val="197214752"/>
      </c:scatterChart>
      <c:valAx>
        <c:axId val="197211224"/>
        <c:scaling>
          <c:orientation val="minMax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Width</a:t>
                </a:r>
              </a:p>
            </c:rich>
          </c:tx>
          <c:layout>
            <c:manualLayout>
              <c:xMode val="edge"/>
              <c:yMode val="edge"/>
              <c:x val="0.51342287063615377"/>
              <c:y val="0.935367900121608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197214752"/>
        <c:crosses val="autoZero"/>
        <c:crossBetween val="midCat"/>
      </c:valAx>
      <c:valAx>
        <c:axId val="197214752"/>
        <c:scaling>
          <c:orientation val="minMax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</a:t>
                </a:r>
              </a:p>
            </c:rich>
          </c:tx>
          <c:layout>
            <c:manualLayout>
              <c:xMode val="edge"/>
              <c:yMode val="edge"/>
              <c:x val="1.789727789043092E-2"/>
              <c:y val="0.4544857474211072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197211224"/>
        <c:crosses val="autoZero"/>
        <c:crossBetween val="midCat"/>
      </c:valAx>
      <c:spPr>
        <a:noFill/>
        <a:ln w="12700">
          <a:solidFill>
            <a:srgbClr val="00000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33202099737539E-2"/>
          <c:y val="4.7488268511890551E-2"/>
          <c:w val="0.86577181208053688"/>
          <c:h val="0.85996409335727109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Panels!$F$6:$F$95</c:f>
              <c:numCache>
                <c:formatCode>0.0</c:formatCode>
                <c:ptCount val="90"/>
                <c:pt idx="0">
                  <c:v>118.75</c:v>
                </c:pt>
                <c:pt idx="1">
                  <c:v>118.75</c:v>
                </c:pt>
                <c:pt idx="2">
                  <c:v>120.65</c:v>
                </c:pt>
                <c:pt idx="3">
                  <c:v>120.65</c:v>
                </c:pt>
                <c:pt idx="4">
                  <c:v>118.75</c:v>
                </c:pt>
                <c:pt idx="6">
                  <c:v>0</c:v>
                </c:pt>
                <c:pt idx="7">
                  <c:v>0</c:v>
                </c:pt>
                <c:pt idx="8">
                  <c:v>1.9</c:v>
                </c:pt>
                <c:pt idx="9">
                  <c:v>1.9</c:v>
                </c:pt>
                <c:pt idx="10">
                  <c:v>0</c:v>
                </c:pt>
                <c:pt idx="12">
                  <c:v>120.65</c:v>
                </c:pt>
                <c:pt idx="13">
                  <c:v>0</c:v>
                </c:pt>
                <c:pt idx="14">
                  <c:v>0</c:v>
                </c:pt>
                <c:pt idx="15">
                  <c:v>120.65</c:v>
                </c:pt>
                <c:pt idx="16">
                  <c:v>120.65</c:v>
                </c:pt>
                <c:pt idx="18">
                  <c:v>1.9</c:v>
                </c:pt>
                <c:pt idx="19">
                  <c:v>118.75</c:v>
                </c:pt>
                <c:pt idx="20">
                  <c:v>118.75</c:v>
                </c:pt>
                <c:pt idx="21">
                  <c:v>1.9</c:v>
                </c:pt>
                <c:pt idx="22">
                  <c:v>1.9</c:v>
                </c:pt>
                <c:pt idx="24">
                  <c:v>118.75</c:v>
                </c:pt>
                <c:pt idx="25">
                  <c:v>35.548065717529553</c:v>
                </c:pt>
                <c:pt idx="26">
                  <c:v>35.548065717529553</c:v>
                </c:pt>
                <c:pt idx="27">
                  <c:v>118.75</c:v>
                </c:pt>
                <c:pt idx="28">
                  <c:v>118.75</c:v>
                </c:pt>
                <c:pt idx="30">
                  <c:v>33.654298627389551</c:v>
                </c:pt>
                <c:pt idx="31">
                  <c:v>29.81285537892925</c:v>
                </c:pt>
                <c:pt idx="32">
                  <c:v>31.706622469069252</c:v>
                </c:pt>
                <c:pt idx="33">
                  <c:v>35.548065717529553</c:v>
                </c:pt>
                <c:pt idx="34">
                  <c:v>33.654298627389551</c:v>
                </c:pt>
                <c:pt idx="36">
                  <c:v>29.81285537892925</c:v>
                </c:pt>
                <c:pt idx="37">
                  <c:v>29.659082142302488</c:v>
                </c:pt>
                <c:pt idx="38">
                  <c:v>67.425725035915377</c:v>
                </c:pt>
                <c:pt idx="39">
                  <c:v>67.579498272542139</c:v>
                </c:pt>
                <c:pt idx="40">
                  <c:v>29.81285537892925</c:v>
                </c:pt>
                <c:pt idx="42">
                  <c:v>38.029786001071884</c:v>
                </c:pt>
                <c:pt idx="43">
                  <c:v>43.074485485083265</c:v>
                </c:pt>
                <c:pt idx="44">
                  <c:v>41.190161894408035</c:v>
                </c:pt>
                <c:pt idx="45">
                  <c:v>36.145462410396654</c:v>
                </c:pt>
                <c:pt idx="46">
                  <c:v>38.029786001071884</c:v>
                </c:pt>
                <c:pt idx="48">
                  <c:v>43.074485485083265</c:v>
                </c:pt>
                <c:pt idx="49">
                  <c:v>106.68201586430816</c:v>
                </c:pt>
                <c:pt idx="50">
                  <c:v>106.59175294260481</c:v>
                </c:pt>
                <c:pt idx="51">
                  <c:v>42.984222563379923</c:v>
                </c:pt>
                <c:pt idx="52">
                  <c:v>43.074485485083265</c:v>
                </c:pt>
                <c:pt idx="54">
                  <c:v>90.611643312677913</c:v>
                </c:pt>
                <c:pt idx="55">
                  <c:v>58.709464221163657</c:v>
                </c:pt>
                <c:pt idx="56">
                  <c:v>58.709464221163657</c:v>
                </c:pt>
                <c:pt idx="57">
                  <c:v>90.611643312677913</c:v>
                </c:pt>
                <c:pt idx="58">
                  <c:v>90.611643312677913</c:v>
                </c:pt>
                <c:pt idx="60">
                  <c:v>88.711643312677907</c:v>
                </c:pt>
                <c:pt idx="61">
                  <c:v>88.711643312677907</c:v>
                </c:pt>
                <c:pt idx="62">
                  <c:v>90.611643312677913</c:v>
                </c:pt>
                <c:pt idx="63">
                  <c:v>90.611643312677913</c:v>
                </c:pt>
                <c:pt idx="64">
                  <c:v>88.711643312677907</c:v>
                </c:pt>
                <c:pt idx="66">
                  <c:v>106.68201586430816</c:v>
                </c:pt>
                <c:pt idx="67">
                  <c:v>104.29487390892749</c:v>
                </c:pt>
                <c:pt idx="68">
                  <c:v>106.1927286465103</c:v>
                </c:pt>
                <c:pt idx="69">
                  <c:v>108.57987060189097</c:v>
                </c:pt>
                <c:pt idx="70">
                  <c:v>106.68201586430816</c:v>
                </c:pt>
              </c:numCache>
            </c:numRef>
          </c:xVal>
          <c:yVal>
            <c:numRef>
              <c:f>Panels!$G$6:$G$95</c:f>
              <c:numCache>
                <c:formatCode>0.0</c:formatCode>
                <c:ptCount val="90"/>
                <c:pt idx="0">
                  <c:v>76.835000000000008</c:v>
                </c:pt>
                <c:pt idx="1">
                  <c:v>0</c:v>
                </c:pt>
                <c:pt idx="2">
                  <c:v>0</c:v>
                </c:pt>
                <c:pt idx="3">
                  <c:v>76.835000000000008</c:v>
                </c:pt>
                <c:pt idx="4">
                  <c:v>76.835000000000008</c:v>
                </c:pt>
                <c:pt idx="6">
                  <c:v>76.835000000000008</c:v>
                </c:pt>
                <c:pt idx="7">
                  <c:v>0</c:v>
                </c:pt>
                <c:pt idx="8">
                  <c:v>0</c:v>
                </c:pt>
                <c:pt idx="9">
                  <c:v>76.835000000000008</c:v>
                </c:pt>
                <c:pt idx="10">
                  <c:v>76.835000000000008</c:v>
                </c:pt>
                <c:pt idx="12">
                  <c:v>76.835000000000008</c:v>
                </c:pt>
                <c:pt idx="13">
                  <c:v>76.835000000000008</c:v>
                </c:pt>
                <c:pt idx="14">
                  <c:v>0</c:v>
                </c:pt>
                <c:pt idx="15">
                  <c:v>0</c:v>
                </c:pt>
                <c:pt idx="16">
                  <c:v>76.835000000000008</c:v>
                </c:pt>
                <c:pt idx="18">
                  <c:v>1.9</c:v>
                </c:pt>
                <c:pt idx="19">
                  <c:v>1.9</c:v>
                </c:pt>
                <c:pt idx="20">
                  <c:v>0</c:v>
                </c:pt>
                <c:pt idx="21">
                  <c:v>0</c:v>
                </c:pt>
                <c:pt idx="22">
                  <c:v>1.9</c:v>
                </c:pt>
                <c:pt idx="24">
                  <c:v>76.835000000000008</c:v>
                </c:pt>
                <c:pt idx="25">
                  <c:v>76.835000000000008</c:v>
                </c:pt>
                <c:pt idx="26">
                  <c:v>74.935000000000002</c:v>
                </c:pt>
                <c:pt idx="27">
                  <c:v>74.935000000000002</c:v>
                </c:pt>
                <c:pt idx="28">
                  <c:v>76.835000000000008</c:v>
                </c:pt>
                <c:pt idx="30">
                  <c:v>76.98877323662677</c:v>
                </c:pt>
                <c:pt idx="31">
                  <c:v>29.68015853775065</c:v>
                </c:pt>
                <c:pt idx="32">
                  <c:v>29.526385301123888</c:v>
                </c:pt>
                <c:pt idx="33">
                  <c:v>76.835000000000008</c:v>
                </c:pt>
                <c:pt idx="34">
                  <c:v>76.98877323662677</c:v>
                </c:pt>
                <c:pt idx="36">
                  <c:v>29.68015853775065</c:v>
                </c:pt>
                <c:pt idx="37">
                  <c:v>27.786391447610647</c:v>
                </c:pt>
                <c:pt idx="38">
                  <c:v>24.719753029129816</c:v>
                </c:pt>
                <c:pt idx="39">
                  <c:v>26.613520119269818</c:v>
                </c:pt>
                <c:pt idx="40">
                  <c:v>29.68015853775065</c:v>
                </c:pt>
                <c:pt idx="42">
                  <c:v>29.012946596280582</c:v>
                </c:pt>
                <c:pt idx="43">
                  <c:v>68.040682321040364</c:v>
                </c:pt>
                <c:pt idx="44">
                  <c:v>68.284248750633637</c:v>
                </c:pt>
                <c:pt idx="45">
                  <c:v>29.256513025873851</c:v>
                </c:pt>
                <c:pt idx="46">
                  <c:v>29.012946596280582</c:v>
                </c:pt>
                <c:pt idx="48">
                  <c:v>68.284248750633637</c:v>
                </c:pt>
                <c:pt idx="49">
                  <c:v>65.25904275321588</c:v>
                </c:pt>
                <c:pt idx="50">
                  <c:v>63.361188015633054</c:v>
                </c:pt>
                <c:pt idx="51">
                  <c:v>66.386394013050818</c:v>
                </c:pt>
                <c:pt idx="52">
                  <c:v>68.284248750633637</c:v>
                </c:pt>
                <c:pt idx="54">
                  <c:v>46.329287296147569</c:v>
                </c:pt>
                <c:pt idx="55">
                  <c:v>46.329287296147569</c:v>
                </c:pt>
                <c:pt idx="56">
                  <c:v>48.229287296147568</c:v>
                </c:pt>
                <c:pt idx="57">
                  <c:v>48.229287296147568</c:v>
                </c:pt>
                <c:pt idx="58">
                  <c:v>46.329287296147569</c:v>
                </c:pt>
                <c:pt idx="60">
                  <c:v>1.9</c:v>
                </c:pt>
                <c:pt idx="61">
                  <c:v>46.329287296147569</c:v>
                </c:pt>
                <c:pt idx="62">
                  <c:v>46.329287296147569</c:v>
                </c:pt>
                <c:pt idx="63">
                  <c:v>1.9</c:v>
                </c:pt>
                <c:pt idx="64">
                  <c:v>1.9</c:v>
                </c:pt>
                <c:pt idx="66">
                  <c:v>65.25904275321588</c:v>
                </c:pt>
                <c:pt idx="67">
                  <c:v>15.067351815142317</c:v>
                </c:pt>
                <c:pt idx="68">
                  <c:v>14.977088893438969</c:v>
                </c:pt>
                <c:pt idx="69">
                  <c:v>65.168779831512538</c:v>
                </c:pt>
                <c:pt idx="70">
                  <c:v>65.25904275321588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B9-4B02-8E27-13260A88FFD4}"/>
            </c:ext>
          </c:extLst>
        </c:ser>
        <c:ser>
          <c:idx val="6"/>
          <c:order val="1"/>
          <c:tx>
            <c:v>Driver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Panels!$V$86:$V$101</c:f>
              <c:numCache>
                <c:formatCode>0.0</c:formatCode>
                <c:ptCount val="16"/>
                <c:pt idx="0">
                  <c:v>32.807386829029362</c:v>
                </c:pt>
                <c:pt idx="1">
                  <c:v>31.269654462761739</c:v>
                </c:pt>
                <c:pt idx="2">
                  <c:v>15.122798220515406</c:v>
                </c:pt>
                <c:pt idx="3">
                  <c:v>15.810731121214081</c:v>
                </c:pt>
                <c:pt idx="4">
                  <c:v>21.791048247971982</c:v>
                </c:pt>
                <c:pt idx="5">
                  <c:v>32.718360218350711</c:v>
                </c:pt>
                <c:pt idx="7">
                  <c:v>29.731922096494113</c:v>
                </c:pt>
                <c:pt idx="8">
                  <c:v>31.269654462761739</c:v>
                </c:pt>
                <c:pt idx="9">
                  <c:v>15.122798220515406</c:v>
                </c:pt>
                <c:pt idx="10">
                  <c:v>14.434865319816732</c:v>
                </c:pt>
                <c:pt idx="11">
                  <c:v>20.415182446574633</c:v>
                </c:pt>
                <c:pt idx="12">
                  <c:v>29.820948707172764</c:v>
                </c:pt>
                <c:pt idx="14">
                  <c:v>20.415182446574633</c:v>
                </c:pt>
                <c:pt idx="15">
                  <c:v>21.791048247971982</c:v>
                </c:pt>
              </c:numCache>
            </c:numRef>
          </c:xVal>
          <c:yVal>
            <c:numRef>
              <c:f>Panels!$W$86:$W$101</c:f>
              <c:numCache>
                <c:formatCode>0.0</c:formatCode>
                <c:ptCount val="16"/>
                <c:pt idx="0">
                  <c:v>66.558780819424356</c:v>
                </c:pt>
                <c:pt idx="1">
                  <c:v>47.621109918024345</c:v>
                </c:pt>
                <c:pt idx="2">
                  <c:v>48.93222909347358</c:v>
                </c:pt>
                <c:pt idx="3">
                  <c:v>57.40434502304727</c:v>
                </c:pt>
                <c:pt idx="4">
                  <c:v>56.918745328436444</c:v>
                </c:pt>
                <c:pt idx="5">
                  <c:v>65.462389346185418</c:v>
                </c:pt>
                <c:pt idx="7">
                  <c:v>28.683439016624327</c:v>
                </c:pt>
                <c:pt idx="8">
                  <c:v>47.621109918024345</c:v>
                </c:pt>
                <c:pt idx="9">
                  <c:v>48.93222909347358</c:v>
                </c:pt>
                <c:pt idx="10">
                  <c:v>40.460113163899891</c:v>
                </c:pt>
                <c:pt idx="11">
                  <c:v>39.974513469289064</c:v>
                </c:pt>
                <c:pt idx="12">
                  <c:v>29.779830489863276</c:v>
                </c:pt>
                <c:pt idx="14">
                  <c:v>39.974513469289064</c:v>
                </c:pt>
                <c:pt idx="15">
                  <c:v>56.918745328436444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B9-4B02-8E27-13260A88FFD4}"/>
            </c:ext>
          </c:extLst>
        </c:ser>
        <c:ser>
          <c:idx val="2"/>
          <c:order val="2"/>
          <c:tx>
            <c:v>Adv Centerline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Path!$K$19:$K$168</c:f>
              <c:numCache>
                <c:formatCode>0.0</c:formatCode>
                <c:ptCount val="150"/>
                <c:pt idx="3">
                  <c:v>33.919003093207976</c:v>
                </c:pt>
                <c:pt idx="4">
                  <c:v>33.919003093207976</c:v>
                </c:pt>
                <c:pt idx="5">
                  <c:v>33.919003093207976</c:v>
                </c:pt>
                <c:pt idx="6">
                  <c:v>33.924522355317222</c:v>
                </c:pt>
                <c:pt idx="7">
                  <c:v>33.924522355317222</c:v>
                </c:pt>
                <c:pt idx="8">
                  <c:v>33.924522355317222</c:v>
                </c:pt>
                <c:pt idx="9">
                  <c:v>35.795619092141031</c:v>
                </c:pt>
                <c:pt idx="10">
                  <c:v>35.795619092141031</c:v>
                </c:pt>
                <c:pt idx="11">
                  <c:v>35.795619092141031</c:v>
                </c:pt>
                <c:pt idx="12">
                  <c:v>38.048781292343989</c:v>
                </c:pt>
                <c:pt idx="13">
                  <c:v>38.048781292343989</c:v>
                </c:pt>
                <c:pt idx="14">
                  <c:v>38.048781292343989</c:v>
                </c:pt>
                <c:pt idx="15">
                  <c:v>38.170504239999701</c:v>
                </c:pt>
                <c:pt idx="16">
                  <c:v>38.170504239999701</c:v>
                </c:pt>
                <c:pt idx="17">
                  <c:v>38.170504239999701</c:v>
                </c:pt>
                <c:pt idx="18">
                  <c:v>39.819143492501482</c:v>
                </c:pt>
                <c:pt idx="19">
                  <c:v>39.819143492501482</c:v>
                </c:pt>
                <c:pt idx="20">
                  <c:v>39.819143492501482</c:v>
                </c:pt>
                <c:pt idx="21">
                  <c:v>41.269173179034176</c:v>
                </c:pt>
                <c:pt idx="22">
                  <c:v>41.269173179034176</c:v>
                </c:pt>
                <c:pt idx="23">
                  <c:v>41.269173179034176</c:v>
                </c:pt>
                <c:pt idx="24">
                  <c:v>43.153496769709406</c:v>
                </c:pt>
                <c:pt idx="25">
                  <c:v>43.153496769709406</c:v>
                </c:pt>
                <c:pt idx="26">
                  <c:v>43.153496769709406</c:v>
                </c:pt>
                <c:pt idx="27">
                  <c:v>108.69589382581285</c:v>
                </c:pt>
                <c:pt idx="28">
                  <c:v>108.69589382581285</c:v>
                </c:pt>
                <c:pt idx="29">
                  <c:v>108.69589382581285</c:v>
                </c:pt>
                <c:pt idx="30">
                  <c:v>111.18041456337917</c:v>
                </c:pt>
                <c:pt idx="31">
                  <c:v>111.18041456337917</c:v>
                </c:pt>
                <c:pt idx="32">
                  <c:v>111.18041456337917</c:v>
                </c:pt>
                <c:pt idx="33">
                  <c:v>113.66493530094549</c:v>
                </c:pt>
                <c:pt idx="34">
                  <c:v>113.66493530094549</c:v>
                </c:pt>
                <c:pt idx="35">
                  <c:v>113.66493530094549</c:v>
                </c:pt>
                <c:pt idx="36">
                  <c:v>113.66493530094549</c:v>
                </c:pt>
                <c:pt idx="37">
                  <c:v>113.66493530094549</c:v>
                </c:pt>
                <c:pt idx="38">
                  <c:v>113.66493530094549</c:v>
                </c:pt>
                <c:pt idx="39">
                  <c:v>112.47136432325516</c:v>
                </c:pt>
                <c:pt idx="40">
                  <c:v>112.47136432325516</c:v>
                </c:pt>
                <c:pt idx="41">
                  <c:v>112.47136432325516</c:v>
                </c:pt>
                <c:pt idx="42">
                  <c:v>112.47136432325516</c:v>
                </c:pt>
                <c:pt idx="43">
                  <c:v>112.47136432325516</c:v>
                </c:pt>
                <c:pt idx="44">
                  <c:v>112.47136432325516</c:v>
                </c:pt>
                <c:pt idx="45">
                  <c:v>109.33204648488274</c:v>
                </c:pt>
                <c:pt idx="46">
                  <c:v>109.33204648488274</c:v>
                </c:pt>
                <c:pt idx="47">
                  <c:v>109.33204648488274</c:v>
                </c:pt>
                <c:pt idx="48">
                  <c:v>106.03737212302894</c:v>
                </c:pt>
                <c:pt idx="49">
                  <c:v>106.03737212302894</c:v>
                </c:pt>
                <c:pt idx="50">
                  <c:v>106.03737212302894</c:v>
                </c:pt>
                <c:pt idx="51">
                  <c:v>104.13844505705336</c:v>
                </c:pt>
                <c:pt idx="52">
                  <c:v>104.13844505705336</c:v>
                </c:pt>
                <c:pt idx="53">
                  <c:v>104.13844505705336</c:v>
                </c:pt>
                <c:pt idx="54">
                  <c:v>100.79585183392803</c:v>
                </c:pt>
                <c:pt idx="55">
                  <c:v>100.79585183392803</c:v>
                </c:pt>
                <c:pt idx="56">
                  <c:v>100.79585183392803</c:v>
                </c:pt>
                <c:pt idx="57">
                  <c:v>97.453258610802692</c:v>
                </c:pt>
                <c:pt idx="58">
                  <c:v>97.453258610802692</c:v>
                </c:pt>
                <c:pt idx="59">
                  <c:v>97.453258610802692</c:v>
                </c:pt>
                <c:pt idx="60">
                  <c:v>98.233242575410543</c:v>
                </c:pt>
                <c:pt idx="61">
                  <c:v>98.233242575410543</c:v>
                </c:pt>
                <c:pt idx="62">
                  <c:v>98.233242575410543</c:v>
                </c:pt>
                <c:pt idx="63">
                  <c:v>98.417470351525949</c:v>
                </c:pt>
                <c:pt idx="64">
                  <c:v>98.417470351525949</c:v>
                </c:pt>
                <c:pt idx="65">
                  <c:v>98.417470351525949</c:v>
                </c:pt>
                <c:pt idx="66">
                  <c:v>94.70098921430926</c:v>
                </c:pt>
                <c:pt idx="67">
                  <c:v>94.70098921430926</c:v>
                </c:pt>
                <c:pt idx="68">
                  <c:v>94.70098921430926</c:v>
                </c:pt>
                <c:pt idx="69">
                  <c:v>90.800280300977178</c:v>
                </c:pt>
                <c:pt idx="70">
                  <c:v>90.800280300977178</c:v>
                </c:pt>
                <c:pt idx="71">
                  <c:v>90.800280300977178</c:v>
                </c:pt>
                <c:pt idx="72">
                  <c:v>58.91611135310265</c:v>
                </c:pt>
                <c:pt idx="73">
                  <c:v>58.91611135310265</c:v>
                </c:pt>
                <c:pt idx="74">
                  <c:v>58.91611135310265</c:v>
                </c:pt>
                <c:pt idx="75">
                  <c:v>54.881477372687222</c:v>
                </c:pt>
                <c:pt idx="76">
                  <c:v>54.881477372687222</c:v>
                </c:pt>
                <c:pt idx="77">
                  <c:v>54.881477372687222</c:v>
                </c:pt>
                <c:pt idx="78">
                  <c:v>50.236035759811344</c:v>
                </c:pt>
                <c:pt idx="79">
                  <c:v>50.236035759811344</c:v>
                </c:pt>
                <c:pt idx="80">
                  <c:v>50.236035759811344</c:v>
                </c:pt>
                <c:pt idx="81">
                  <c:v>49.686635267590759</c:v>
                </c:pt>
                <c:pt idx="82">
                  <c:v>49.686635267590759</c:v>
                </c:pt>
                <c:pt idx="83">
                  <c:v>49.686635267590759</c:v>
                </c:pt>
                <c:pt idx="84">
                  <c:v>49.564852052794123</c:v>
                </c:pt>
                <c:pt idx="85">
                  <c:v>49.564852052794123</c:v>
                </c:pt>
                <c:pt idx="86">
                  <c:v>49.564852052794123</c:v>
                </c:pt>
                <c:pt idx="87">
                  <c:v>48.967238581955947</c:v>
                </c:pt>
                <c:pt idx="88">
                  <c:v>48.967238581955947</c:v>
                </c:pt>
                <c:pt idx="89">
                  <c:v>48.967238581955947</c:v>
                </c:pt>
                <c:pt idx="90">
                  <c:v>53.347689132717093</c:v>
                </c:pt>
                <c:pt idx="91">
                  <c:v>53.347689132717093</c:v>
                </c:pt>
                <c:pt idx="92">
                  <c:v>53.347689132717093</c:v>
                </c:pt>
                <c:pt idx="93">
                  <c:v>58.325753154316409</c:v>
                </c:pt>
                <c:pt idx="94">
                  <c:v>58.325753154316409</c:v>
                </c:pt>
                <c:pt idx="95">
                  <c:v>58.325753154316409</c:v>
                </c:pt>
                <c:pt idx="96">
                  <c:v>67.978741272311538</c:v>
                </c:pt>
                <c:pt idx="97">
                  <c:v>67.978741272311538</c:v>
                </c:pt>
                <c:pt idx="98">
                  <c:v>67.978741272311538</c:v>
                </c:pt>
                <c:pt idx="99">
                  <c:v>73.062156032460777</c:v>
                </c:pt>
                <c:pt idx="100">
                  <c:v>73.062156032460777</c:v>
                </c:pt>
                <c:pt idx="101">
                  <c:v>73.062156032460777</c:v>
                </c:pt>
                <c:pt idx="102">
                  <c:v>78.145570792610016</c:v>
                </c:pt>
                <c:pt idx="103">
                  <c:v>78.145570792610016</c:v>
                </c:pt>
                <c:pt idx="104">
                  <c:v>78.145570792610016</c:v>
                </c:pt>
                <c:pt idx="105">
                  <c:v>78.145570792610016</c:v>
                </c:pt>
                <c:pt idx="106">
                  <c:v>78.145570792610016</c:v>
                </c:pt>
                <c:pt idx="107">
                  <c:v>78.145570792610016</c:v>
                </c:pt>
                <c:pt idx="108">
                  <c:v>78.068684174296635</c:v>
                </c:pt>
                <c:pt idx="109">
                  <c:v>78.068684174296635</c:v>
                </c:pt>
                <c:pt idx="110">
                  <c:v>78.068684174296635</c:v>
                </c:pt>
                <c:pt idx="111">
                  <c:v>78.068684174296635</c:v>
                </c:pt>
                <c:pt idx="112">
                  <c:v>78.068684174296635</c:v>
                </c:pt>
                <c:pt idx="113">
                  <c:v>78.068684174296635</c:v>
                </c:pt>
                <c:pt idx="114">
                  <c:v>72.747204605106006</c:v>
                </c:pt>
                <c:pt idx="115">
                  <c:v>72.747204605106006</c:v>
                </c:pt>
                <c:pt idx="116">
                  <c:v>72.747204605106006</c:v>
                </c:pt>
                <c:pt idx="117">
                  <c:v>66.963626525032623</c:v>
                </c:pt>
                <c:pt idx="118">
                  <c:v>66.963626525032623</c:v>
                </c:pt>
                <c:pt idx="119">
                  <c:v>66.963626525032623</c:v>
                </c:pt>
                <c:pt idx="120">
                  <c:v>29.134884403404993</c:v>
                </c:pt>
                <c:pt idx="121">
                  <c:v>29.134884403404993</c:v>
                </c:pt>
                <c:pt idx="122">
                  <c:v>29.134884403404993</c:v>
                </c:pt>
                <c:pt idx="123">
                  <c:v>22.45721273727812</c:v>
                </c:pt>
                <c:pt idx="124">
                  <c:v>22.45721273727812</c:v>
                </c:pt>
                <c:pt idx="125">
                  <c:v>22.45721273727812</c:v>
                </c:pt>
                <c:pt idx="126">
                  <c:v>15.779541071151243</c:v>
                </c:pt>
                <c:pt idx="127">
                  <c:v>15.779541071151243</c:v>
                </c:pt>
                <c:pt idx="128">
                  <c:v>15.779541071151243</c:v>
                </c:pt>
                <c:pt idx="129">
                  <c:v>15.779541071151243</c:v>
                </c:pt>
                <c:pt idx="130">
                  <c:v>15.779541071151243</c:v>
                </c:pt>
                <c:pt idx="131">
                  <c:v>15.779541071151243</c:v>
                </c:pt>
                <c:pt idx="132">
                  <c:v>15.856427689464624</c:v>
                </c:pt>
                <c:pt idx="133">
                  <c:v>15.856427689464624</c:v>
                </c:pt>
                <c:pt idx="134">
                  <c:v>15.856427689464624</c:v>
                </c:pt>
                <c:pt idx="135">
                  <c:v>15.856427689464624</c:v>
                </c:pt>
                <c:pt idx="136">
                  <c:v>15.856427689464624</c:v>
                </c:pt>
                <c:pt idx="137">
                  <c:v>15.856427689464624</c:v>
                </c:pt>
                <c:pt idx="138">
                  <c:v>16.584827231380864</c:v>
                </c:pt>
                <c:pt idx="139">
                  <c:v>16.584827231380864</c:v>
                </c:pt>
                <c:pt idx="140">
                  <c:v>16.584827231380864</c:v>
                </c:pt>
                <c:pt idx="141">
                  <c:v>17.718841974401442</c:v>
                </c:pt>
                <c:pt idx="142">
                  <c:v>17.718841974401442</c:v>
                </c:pt>
                <c:pt idx="143">
                  <c:v>17.718841974401442</c:v>
                </c:pt>
                <c:pt idx="144">
                  <c:v>17.747995644048107</c:v>
                </c:pt>
                <c:pt idx="145">
                  <c:v>17.747995644048107</c:v>
                </c:pt>
                <c:pt idx="146">
                  <c:v>17.747995644048107</c:v>
                </c:pt>
              </c:numCache>
            </c:numRef>
          </c:xVal>
          <c:yVal>
            <c:numRef>
              <c:f>Path!$L$19:$L$168</c:f>
              <c:numCache>
                <c:formatCode>0.0</c:formatCode>
                <c:ptCount val="150"/>
                <c:pt idx="3">
                  <c:v>29.346770652005752</c:v>
                </c:pt>
                <c:pt idx="4">
                  <c:v>29.346770652005752</c:v>
                </c:pt>
                <c:pt idx="5">
                  <c:v>29.346770652005752</c:v>
                </c:pt>
                <c:pt idx="6">
                  <c:v>29.399250367756981</c:v>
                </c:pt>
                <c:pt idx="7">
                  <c:v>29.399250367756981</c:v>
                </c:pt>
                <c:pt idx="8">
                  <c:v>29.399250367756981</c:v>
                </c:pt>
                <c:pt idx="9">
                  <c:v>47.190509950642422</c:v>
                </c:pt>
                <c:pt idx="10">
                  <c:v>47.190509950642422</c:v>
                </c:pt>
                <c:pt idx="11">
                  <c:v>47.190509950642422</c:v>
                </c:pt>
                <c:pt idx="12">
                  <c:v>68.614625976948616</c:v>
                </c:pt>
                <c:pt idx="13">
                  <c:v>68.614625976948616</c:v>
                </c:pt>
                <c:pt idx="14">
                  <c:v>68.614625976948616</c:v>
                </c:pt>
                <c:pt idx="15">
                  <c:v>70.112125176132722</c:v>
                </c:pt>
                <c:pt idx="16">
                  <c:v>70.112125176132722</c:v>
                </c:pt>
                <c:pt idx="17">
                  <c:v>70.112125176132722</c:v>
                </c:pt>
                <c:pt idx="18">
                  <c:v>71.609624375316827</c:v>
                </c:pt>
                <c:pt idx="19">
                  <c:v>71.609624375316827</c:v>
                </c:pt>
                <c:pt idx="20">
                  <c:v>71.609624375316827</c:v>
                </c:pt>
                <c:pt idx="21">
                  <c:v>71.609624375316827</c:v>
                </c:pt>
                <c:pt idx="22">
                  <c:v>71.609624375316827</c:v>
                </c:pt>
                <c:pt idx="23">
                  <c:v>71.609624375316827</c:v>
                </c:pt>
                <c:pt idx="24">
                  <c:v>71.609624375316827</c:v>
                </c:pt>
                <c:pt idx="25">
                  <c:v>71.609624375316827</c:v>
                </c:pt>
                <c:pt idx="26">
                  <c:v>71.609624375316827</c:v>
                </c:pt>
                <c:pt idx="27">
                  <c:v>70.051889915756277</c:v>
                </c:pt>
                <c:pt idx="28">
                  <c:v>70.051889915756277</c:v>
                </c:pt>
                <c:pt idx="29">
                  <c:v>70.051889915756277</c:v>
                </c:pt>
                <c:pt idx="30">
                  <c:v>70.051889915756277</c:v>
                </c:pt>
                <c:pt idx="31">
                  <c:v>70.051889915756277</c:v>
                </c:pt>
                <c:pt idx="32">
                  <c:v>70.051889915756277</c:v>
                </c:pt>
                <c:pt idx="33">
                  <c:v>67.6103348736344</c:v>
                </c:pt>
                <c:pt idx="34">
                  <c:v>67.6103348736344</c:v>
                </c:pt>
                <c:pt idx="35">
                  <c:v>67.6103348736344</c:v>
                </c:pt>
                <c:pt idx="36">
                  <c:v>65.047958144092604</c:v>
                </c:pt>
                <c:pt idx="37">
                  <c:v>65.047958144092604</c:v>
                </c:pt>
                <c:pt idx="38">
                  <c:v>65.047958144092604</c:v>
                </c:pt>
                <c:pt idx="39">
                  <c:v>14.856267206019034</c:v>
                </c:pt>
                <c:pt idx="40">
                  <c:v>14.856267206019034</c:v>
                </c:pt>
                <c:pt idx="41">
                  <c:v>14.856267206019034</c:v>
                </c:pt>
                <c:pt idx="42">
                  <c:v>11.647405826369258</c:v>
                </c:pt>
                <c:pt idx="43">
                  <c:v>11.647405826369258</c:v>
                </c:pt>
                <c:pt idx="44">
                  <c:v>11.647405826369258</c:v>
                </c:pt>
                <c:pt idx="45">
                  <c:v>8.4385444467194848</c:v>
                </c:pt>
                <c:pt idx="46">
                  <c:v>8.4385444467194848</c:v>
                </c:pt>
                <c:pt idx="47">
                  <c:v>8.4385444467194848</c:v>
                </c:pt>
                <c:pt idx="48">
                  <c:v>8.4385444467194848</c:v>
                </c:pt>
                <c:pt idx="49">
                  <c:v>8.4385444467194848</c:v>
                </c:pt>
                <c:pt idx="50">
                  <c:v>8.4385444467194848</c:v>
                </c:pt>
                <c:pt idx="51">
                  <c:v>8.4836759075711576</c:v>
                </c:pt>
                <c:pt idx="52">
                  <c:v>8.4836759075711576</c:v>
                </c:pt>
                <c:pt idx="53">
                  <c:v>8.4836759075711576</c:v>
                </c:pt>
                <c:pt idx="54">
                  <c:v>8.4836759075711576</c:v>
                </c:pt>
                <c:pt idx="55">
                  <c:v>8.4836759075711576</c:v>
                </c:pt>
                <c:pt idx="56">
                  <c:v>8.4836759075711576</c:v>
                </c:pt>
                <c:pt idx="57">
                  <c:v>15.150488958215373</c:v>
                </c:pt>
                <c:pt idx="58">
                  <c:v>15.150488958215373</c:v>
                </c:pt>
                <c:pt idx="59">
                  <c:v>15.150488958215373</c:v>
                </c:pt>
                <c:pt idx="60">
                  <c:v>48.048146134876035</c:v>
                </c:pt>
                <c:pt idx="61">
                  <c:v>48.048146134876035</c:v>
                </c:pt>
                <c:pt idx="62">
                  <c:v>48.048146134876035</c:v>
                </c:pt>
                <c:pt idx="63">
                  <c:v>51.921691895383177</c:v>
                </c:pt>
                <c:pt idx="64">
                  <c:v>51.921691895383177</c:v>
                </c:pt>
                <c:pt idx="65">
                  <c:v>51.921691895383177</c:v>
                </c:pt>
                <c:pt idx="66">
                  <c:v>55.980757325156446</c:v>
                </c:pt>
                <c:pt idx="67">
                  <c:v>55.980757325156446</c:v>
                </c:pt>
                <c:pt idx="68">
                  <c:v>55.980757325156446</c:v>
                </c:pt>
                <c:pt idx="69">
                  <c:v>56.166276994422589</c:v>
                </c:pt>
                <c:pt idx="70">
                  <c:v>56.166276994422589</c:v>
                </c:pt>
                <c:pt idx="71">
                  <c:v>56.166276994422589</c:v>
                </c:pt>
                <c:pt idx="72">
                  <c:v>56.924062229555176</c:v>
                </c:pt>
                <c:pt idx="73">
                  <c:v>56.924062229555176</c:v>
                </c:pt>
                <c:pt idx="74">
                  <c:v>56.924062229555176</c:v>
                </c:pt>
                <c:pt idx="75">
                  <c:v>57.11595144207719</c:v>
                </c:pt>
                <c:pt idx="76">
                  <c:v>57.11595144207719</c:v>
                </c:pt>
                <c:pt idx="77">
                  <c:v>57.11595144207719</c:v>
                </c:pt>
                <c:pt idx="78">
                  <c:v>53.060387666294474</c:v>
                </c:pt>
                <c:pt idx="79">
                  <c:v>53.060387666294474</c:v>
                </c:pt>
                <c:pt idx="80">
                  <c:v>53.060387666294474</c:v>
                </c:pt>
                <c:pt idx="81">
                  <c:v>48.810014123649253</c:v>
                </c:pt>
                <c:pt idx="82">
                  <c:v>48.810014123649253</c:v>
                </c:pt>
                <c:pt idx="83">
                  <c:v>48.810014123649253</c:v>
                </c:pt>
                <c:pt idx="84">
                  <c:v>46.917852328311639</c:v>
                </c:pt>
                <c:pt idx="85">
                  <c:v>46.917852328311639</c:v>
                </c:pt>
                <c:pt idx="86">
                  <c:v>46.917852328311639</c:v>
                </c:pt>
                <c:pt idx="87">
                  <c:v>42.294484637262855</c:v>
                </c:pt>
                <c:pt idx="88">
                  <c:v>42.294484637262855</c:v>
                </c:pt>
                <c:pt idx="89">
                  <c:v>42.294484637262855</c:v>
                </c:pt>
                <c:pt idx="90">
                  <c:v>37.266899859159302</c:v>
                </c:pt>
                <c:pt idx="91">
                  <c:v>37.266899859159302</c:v>
                </c:pt>
                <c:pt idx="92">
                  <c:v>37.266899859159302</c:v>
                </c:pt>
                <c:pt idx="93">
                  <c:v>36.862682772104527</c:v>
                </c:pt>
                <c:pt idx="94">
                  <c:v>36.862682772104527</c:v>
                </c:pt>
                <c:pt idx="95">
                  <c:v>36.862682772104527</c:v>
                </c:pt>
                <c:pt idx="96">
                  <c:v>36.471403707708696</c:v>
                </c:pt>
                <c:pt idx="97">
                  <c:v>36.471403707708696</c:v>
                </c:pt>
                <c:pt idx="98">
                  <c:v>36.471403707708696</c:v>
                </c:pt>
                <c:pt idx="99">
                  <c:v>36.471403707708696</c:v>
                </c:pt>
                <c:pt idx="100">
                  <c:v>36.471403707708696</c:v>
                </c:pt>
                <c:pt idx="101">
                  <c:v>36.471403707708696</c:v>
                </c:pt>
                <c:pt idx="102">
                  <c:v>31.32849963391638</c:v>
                </c:pt>
                <c:pt idx="103">
                  <c:v>31.32849963391638</c:v>
                </c:pt>
                <c:pt idx="104">
                  <c:v>31.32849963391638</c:v>
                </c:pt>
                <c:pt idx="105">
                  <c:v>26.185595560124071</c:v>
                </c:pt>
                <c:pt idx="106">
                  <c:v>26.185595560124071</c:v>
                </c:pt>
                <c:pt idx="107">
                  <c:v>26.185595560124071</c:v>
                </c:pt>
                <c:pt idx="108">
                  <c:v>24.291828469984068</c:v>
                </c:pt>
                <c:pt idx="109">
                  <c:v>24.291828469984068</c:v>
                </c:pt>
                <c:pt idx="110">
                  <c:v>24.291828469984068</c:v>
                </c:pt>
                <c:pt idx="111">
                  <c:v>18.800852492274487</c:v>
                </c:pt>
                <c:pt idx="112">
                  <c:v>18.800852492274487</c:v>
                </c:pt>
                <c:pt idx="113">
                  <c:v>18.800852492274487</c:v>
                </c:pt>
                <c:pt idx="114">
                  <c:v>13.309876514564907</c:v>
                </c:pt>
                <c:pt idx="115">
                  <c:v>13.309876514564907</c:v>
                </c:pt>
                <c:pt idx="116">
                  <c:v>13.309876514564907</c:v>
                </c:pt>
                <c:pt idx="117">
                  <c:v>13.309876514564907</c:v>
                </c:pt>
                <c:pt idx="118">
                  <c:v>13.309876514564907</c:v>
                </c:pt>
                <c:pt idx="119">
                  <c:v>13.309876514564907</c:v>
                </c:pt>
                <c:pt idx="120">
                  <c:v>14.843195723805323</c:v>
                </c:pt>
                <c:pt idx="121">
                  <c:v>14.843195723805323</c:v>
                </c:pt>
                <c:pt idx="122">
                  <c:v>14.843195723805323</c:v>
                </c:pt>
                <c:pt idx="123">
                  <c:v>14.843195723805323</c:v>
                </c:pt>
                <c:pt idx="124">
                  <c:v>14.843195723805323</c:v>
                </c:pt>
                <c:pt idx="125">
                  <c:v>14.843195723805323</c:v>
                </c:pt>
                <c:pt idx="126">
                  <c:v>21.314793585707985</c:v>
                </c:pt>
                <c:pt idx="127">
                  <c:v>21.314793585707985</c:v>
                </c:pt>
                <c:pt idx="128">
                  <c:v>21.314793585707985</c:v>
                </c:pt>
                <c:pt idx="129">
                  <c:v>28.348511050967254</c:v>
                </c:pt>
                <c:pt idx="130">
                  <c:v>28.348511050967254</c:v>
                </c:pt>
                <c:pt idx="131">
                  <c:v>28.348511050967254</c:v>
                </c:pt>
                <c:pt idx="132">
                  <c:v>30.245392039122201</c:v>
                </c:pt>
                <c:pt idx="133">
                  <c:v>30.245392039122201</c:v>
                </c:pt>
                <c:pt idx="134">
                  <c:v>30.245392039122201</c:v>
                </c:pt>
                <c:pt idx="135">
                  <c:v>30.245392039122201</c:v>
                </c:pt>
                <c:pt idx="136">
                  <c:v>30.245392039122201</c:v>
                </c:pt>
                <c:pt idx="137">
                  <c:v>30.245392039122201</c:v>
                </c:pt>
                <c:pt idx="138">
                  <c:v>48.215843505853215</c:v>
                </c:pt>
                <c:pt idx="139">
                  <c:v>48.215843505853215</c:v>
                </c:pt>
                <c:pt idx="140">
                  <c:v>48.215843505853215</c:v>
                </c:pt>
                <c:pt idx="141">
                  <c:v>76.193812896971707</c:v>
                </c:pt>
                <c:pt idx="142">
                  <c:v>76.193812896971707</c:v>
                </c:pt>
                <c:pt idx="143">
                  <c:v>76.193812896971707</c:v>
                </c:pt>
                <c:pt idx="144">
                  <c:v>76.91306830765663</c:v>
                </c:pt>
                <c:pt idx="145">
                  <c:v>76.91306830765663</c:v>
                </c:pt>
                <c:pt idx="146">
                  <c:v>76.91306830765663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5B9-4B02-8E27-13260A88FFD4}"/>
            </c:ext>
          </c:extLst>
        </c:ser>
        <c:ser>
          <c:idx val="0"/>
          <c:order val="3"/>
          <c:tx>
            <c:v>Axes</c:v>
          </c:tx>
          <c:spPr>
            <a:ln>
              <a:noFill/>
            </a:ln>
          </c:spPr>
          <c:marker>
            <c:symbol val="none"/>
          </c:marker>
          <c:xVal>
            <c:numRef>
              <c:f>Panels!$S$106:$S$110</c:f>
              <c:numCache>
                <c:formatCode>0.0</c:formatCode>
                <c:ptCount val="5"/>
                <c:pt idx="0">
                  <c:v>-5</c:v>
                </c:pt>
                <c:pt idx="1">
                  <c:v>-5</c:v>
                </c:pt>
                <c:pt idx="3">
                  <c:v>-5</c:v>
                </c:pt>
                <c:pt idx="4">
                  <c:v>120.65</c:v>
                </c:pt>
              </c:numCache>
            </c:numRef>
          </c:xVal>
          <c:yVal>
            <c:numRef>
              <c:f>Panels!$T$106:$T$110</c:f>
              <c:numCache>
                <c:formatCode>0.0</c:formatCode>
                <c:ptCount val="5"/>
                <c:pt idx="0">
                  <c:v>-5</c:v>
                </c:pt>
                <c:pt idx="1">
                  <c:v>120.65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5B9-4B02-8E27-13260A88FFD4}"/>
            </c:ext>
          </c:extLst>
        </c:ser>
        <c:ser>
          <c:idx val="3"/>
          <c:order val="4"/>
          <c:tx>
            <c:v>Guides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5.8143442296985605E-3"/>
                  <c:y val="-1.42475940507436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 b="1"/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B9-4B02-8E27-13260A88FFD4}"/>
                </c:ext>
              </c:extLst>
            </c:dLbl>
            <c:dLbl>
              <c:idx val="1"/>
              <c:layout>
                <c:manualLayout>
                  <c:x val="-1.8867680493527484E-2"/>
                  <c:y val="1.5434847135648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 b="1"/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B9-4B02-8E27-13260A88FFD4}"/>
                </c:ext>
              </c:extLst>
            </c:dLbl>
            <c:dLbl>
              <c:idx val="3"/>
              <c:layout>
                <c:manualLayout>
                  <c:x val="-4.3468643124154979E-2"/>
                  <c:y val="-1.6848107054800013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B9-4B02-8E27-13260A88FFD4}"/>
                </c:ext>
              </c:extLst>
            </c:dLbl>
            <c:dLbl>
              <c:idx val="4"/>
              <c:layout>
                <c:manualLayout>
                  <c:x val="-4.8060824783265725E-2"/>
                  <c:y val="1.41722341525492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 b="1"/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B9-4B02-8E27-13260A88FFD4}"/>
                </c:ext>
              </c:extLst>
            </c:dLbl>
            <c:dLbl>
              <c:idx val="6"/>
              <c:layout>
                <c:manualLayout>
                  <c:x val="-2.6333512288236698E-2"/>
                  <c:y val="-1.37955340809671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 b="1"/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B9-4B02-8E27-13260A88FFD4}"/>
                </c:ext>
              </c:extLst>
            </c:dLbl>
            <c:dLbl>
              <c:idx val="7"/>
              <c:layout>
                <c:manualLayout>
                  <c:x val="-1.6647981450278748E-2"/>
                  <c:y val="1.42475512021371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 b="1"/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B9-4B02-8E27-13260A88FFD4}"/>
                </c:ext>
              </c:extLst>
            </c:dLbl>
            <c:dLbl>
              <c:idx val="9"/>
              <c:layout>
                <c:manualLayout>
                  <c:x val="-2.2727272727272728E-2"/>
                  <c:y val="1.5151515151515152E-2"/>
                </c:manualLayout>
              </c:layout>
              <c:tx>
                <c:rich>
                  <a:bodyPr/>
                  <a:lstStyle/>
                  <a:p>
                    <a:fld id="{A87257BD-BB36-4475-AE23-20DAD1E619F1}" type="XVALUE">
                      <a:rPr lang="en-US" b="1"/>
                      <a:pPr/>
                      <a:t>[X VALUE]</a:t>
                    </a:fld>
                    <a:endParaRPr lang="en-029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75B9-4B02-8E27-13260A88FFD4}"/>
                </c:ext>
              </c:extLst>
            </c:dLbl>
            <c:dLbl>
              <c:idx val="10"/>
              <c:layout>
                <c:manualLayout>
                  <c:x val="-3.2196969696969696E-2"/>
                  <c:y val="-1.76768173864631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339596754951084E-2"/>
                      <c:h val="2.41161616161616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5B9-4B02-8E27-13260A88FFD4}"/>
                </c:ext>
              </c:extLst>
            </c:dLbl>
            <c:dLbl>
              <c:idx val="12"/>
              <c:layout>
                <c:manualLayout>
                  <c:x val="-5.8361568440308577E-2"/>
                  <c:y val="2.0798536546568042E-4"/>
                </c:manualLayout>
              </c:layout>
              <c:tx>
                <c:rich>
                  <a:bodyPr/>
                  <a:lstStyle/>
                  <a:p>
                    <a:fld id="{A0206F69-9AE0-47F8-8E8E-E2E2C4F6568F}" type="YVALUE">
                      <a:rPr lang="en-US" b="1"/>
                      <a:pPr/>
                      <a:t>[Y VALUE]</a:t>
                    </a:fld>
                    <a:endParaRPr lang="en-029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233536148890479E-2"/>
                      <c:h val="3.169191919191919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75B9-4B02-8E27-13260A88FFD4}"/>
                </c:ext>
              </c:extLst>
            </c:dLbl>
            <c:dLbl>
              <c:idx val="13"/>
              <c:layout>
                <c:manualLayout>
                  <c:x val="-6.313131313131313E-3"/>
                  <c:y val="1.26262626262626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B9-4B02-8E27-13260A88FFD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5B9-4B02-8E27-13260A88FFD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5B9-4B02-8E27-13260A88FFD4}"/>
                </c:ext>
              </c:extLst>
            </c:dLbl>
            <c:dLbl>
              <c:idx val="18"/>
              <c:layout>
                <c:manualLayout>
                  <c:x val="-5.1767676767676789E-2"/>
                  <c:y val="-1.26262626262626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5B9-4B02-8E27-13260A88FFD4}"/>
                </c:ext>
              </c:extLst>
            </c:dLbl>
            <c:dLbl>
              <c:idx val="19"/>
              <c:layout>
                <c:manualLayout>
                  <c:x val="-5.0505050505050509E-3"/>
                  <c:y val="-4.6295761483709066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5B9-4B02-8E27-13260A88FFD4}"/>
                </c:ext>
              </c:extLst>
            </c:dLbl>
            <c:dLbl>
              <c:idx val="21"/>
              <c:layout>
                <c:manualLayout>
                  <c:x val="-4.9642189612662077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5B9-4B02-8E27-13260A88FFD4}"/>
                </c:ext>
              </c:extLst>
            </c:dLbl>
            <c:dLbl>
              <c:idx val="22"/>
              <c:layout>
                <c:manualLayout>
                  <c:x val="-5.0505050505050509E-3"/>
                  <c:y val="1.2626262626261701E-3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5B9-4B02-8E27-13260A88FFD4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5B9-4B02-8E27-13260A88FFD4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5B9-4B02-8E27-13260A88FFD4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5B9-4B02-8E27-13260A88FFD4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5B9-4B02-8E27-13260A88FFD4}"/>
                </c:ext>
              </c:extLst>
            </c:dLbl>
            <c:dLbl>
              <c:idx val="31"/>
              <c:layout>
                <c:manualLayout>
                  <c:x val="-2.5534276991396057E-2"/>
                  <c:y val="1.543484713564856E-2"/>
                </c:manualLayout>
              </c:layout>
              <c:spPr/>
              <c:txPr>
                <a:bodyPr/>
                <a:lstStyle/>
                <a:p>
                  <a:pPr>
                    <a:defRPr sz="1400" b="1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5B9-4B02-8E27-13260A88FF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Guides!$F$2:$F$31</c:f>
              <c:numCache>
                <c:formatCode>0.0</c:formatCode>
                <c:ptCount val="3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Guides!$G$2:$G$31</c:f>
              <c:numCache>
                <c:formatCode>0.0</c:formatCode>
                <c:ptCount val="3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5B9-4B02-8E27-13260A88F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213576"/>
        <c:axId val="197210832"/>
      </c:scatterChart>
      <c:valAx>
        <c:axId val="197213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Height</a:t>
                </a:r>
              </a:p>
            </c:rich>
          </c:tx>
          <c:layout>
            <c:manualLayout>
              <c:xMode val="edge"/>
              <c:yMode val="edge"/>
              <c:x val="0.51342289124766982"/>
              <c:y val="0.935367909821601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197210832"/>
        <c:crosses val="autoZero"/>
        <c:crossBetween val="midCat"/>
      </c:valAx>
      <c:valAx>
        <c:axId val="197210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</a:t>
                </a:r>
              </a:p>
            </c:rich>
          </c:tx>
          <c:layout>
            <c:manualLayout>
              <c:xMode val="edge"/>
              <c:yMode val="edge"/>
              <c:x val="1.7897246607704427E-2"/>
              <c:y val="0.454485758291789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197213576"/>
        <c:crosses val="autoZero"/>
        <c:crossBetween val="midCat"/>
      </c:valAx>
      <c:spPr>
        <a:noFill/>
        <a:ln w="12700">
          <a:solidFill>
            <a:srgbClr val="00000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08921868121155E-2"/>
          <c:y val="4.6225676204367364E-2"/>
          <c:w val="0.86577181208053688"/>
          <c:h val="0.85996409335727109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Panels!$F$6:$F$95</c:f>
              <c:numCache>
                <c:formatCode>0.0</c:formatCode>
                <c:ptCount val="90"/>
                <c:pt idx="0">
                  <c:v>118.75</c:v>
                </c:pt>
                <c:pt idx="1">
                  <c:v>118.75</c:v>
                </c:pt>
                <c:pt idx="2">
                  <c:v>120.65</c:v>
                </c:pt>
                <c:pt idx="3">
                  <c:v>120.65</c:v>
                </c:pt>
                <c:pt idx="4">
                  <c:v>118.75</c:v>
                </c:pt>
                <c:pt idx="6">
                  <c:v>0</c:v>
                </c:pt>
                <c:pt idx="7">
                  <c:v>0</c:v>
                </c:pt>
                <c:pt idx="8">
                  <c:v>1.9</c:v>
                </c:pt>
                <c:pt idx="9">
                  <c:v>1.9</c:v>
                </c:pt>
                <c:pt idx="10">
                  <c:v>0</c:v>
                </c:pt>
                <c:pt idx="12">
                  <c:v>120.65</c:v>
                </c:pt>
                <c:pt idx="13">
                  <c:v>0</c:v>
                </c:pt>
                <c:pt idx="14">
                  <c:v>0</c:v>
                </c:pt>
                <c:pt idx="15">
                  <c:v>120.65</c:v>
                </c:pt>
                <c:pt idx="16">
                  <c:v>120.65</c:v>
                </c:pt>
                <c:pt idx="18">
                  <c:v>1.9</c:v>
                </c:pt>
                <c:pt idx="19">
                  <c:v>118.75</c:v>
                </c:pt>
                <c:pt idx="20">
                  <c:v>118.75</c:v>
                </c:pt>
                <c:pt idx="21">
                  <c:v>1.9</c:v>
                </c:pt>
                <c:pt idx="22">
                  <c:v>1.9</c:v>
                </c:pt>
                <c:pt idx="24">
                  <c:v>118.75</c:v>
                </c:pt>
                <c:pt idx="25">
                  <c:v>35.548065717529553</c:v>
                </c:pt>
                <c:pt idx="26">
                  <c:v>35.548065717529553</c:v>
                </c:pt>
                <c:pt idx="27">
                  <c:v>118.75</c:v>
                </c:pt>
                <c:pt idx="28">
                  <c:v>118.75</c:v>
                </c:pt>
                <c:pt idx="30">
                  <c:v>33.654298627389551</c:v>
                </c:pt>
                <c:pt idx="31">
                  <c:v>29.81285537892925</c:v>
                </c:pt>
                <c:pt idx="32">
                  <c:v>31.706622469069252</c:v>
                </c:pt>
                <c:pt idx="33">
                  <c:v>35.548065717529553</c:v>
                </c:pt>
                <c:pt idx="34">
                  <c:v>33.654298627389551</c:v>
                </c:pt>
                <c:pt idx="36">
                  <c:v>29.81285537892925</c:v>
                </c:pt>
                <c:pt idx="37">
                  <c:v>29.659082142302488</c:v>
                </c:pt>
                <c:pt idx="38">
                  <c:v>67.425725035915377</c:v>
                </c:pt>
                <c:pt idx="39">
                  <c:v>67.579498272542139</c:v>
                </c:pt>
                <c:pt idx="40">
                  <c:v>29.81285537892925</c:v>
                </c:pt>
                <c:pt idx="42">
                  <c:v>38.029786001071884</c:v>
                </c:pt>
                <c:pt idx="43">
                  <c:v>43.074485485083265</c:v>
                </c:pt>
                <c:pt idx="44">
                  <c:v>41.190161894408035</c:v>
                </c:pt>
                <c:pt idx="45">
                  <c:v>36.145462410396654</c:v>
                </c:pt>
                <c:pt idx="46">
                  <c:v>38.029786001071884</c:v>
                </c:pt>
                <c:pt idx="48">
                  <c:v>43.074485485083265</c:v>
                </c:pt>
                <c:pt idx="49">
                  <c:v>106.68201586430816</c:v>
                </c:pt>
                <c:pt idx="50">
                  <c:v>106.59175294260481</c:v>
                </c:pt>
                <c:pt idx="51">
                  <c:v>42.984222563379923</c:v>
                </c:pt>
                <c:pt idx="52">
                  <c:v>43.074485485083265</c:v>
                </c:pt>
                <c:pt idx="54">
                  <c:v>90.611643312677913</c:v>
                </c:pt>
                <c:pt idx="55">
                  <c:v>58.709464221163657</c:v>
                </c:pt>
                <c:pt idx="56">
                  <c:v>58.709464221163657</c:v>
                </c:pt>
                <c:pt idx="57">
                  <c:v>90.611643312677913</c:v>
                </c:pt>
                <c:pt idx="58">
                  <c:v>90.611643312677913</c:v>
                </c:pt>
                <c:pt idx="60">
                  <c:v>88.711643312677907</c:v>
                </c:pt>
                <c:pt idx="61">
                  <c:v>88.711643312677907</c:v>
                </c:pt>
                <c:pt idx="62">
                  <c:v>90.611643312677913</c:v>
                </c:pt>
                <c:pt idx="63">
                  <c:v>90.611643312677913</c:v>
                </c:pt>
                <c:pt idx="64">
                  <c:v>88.711643312677907</c:v>
                </c:pt>
                <c:pt idx="66">
                  <c:v>106.68201586430816</c:v>
                </c:pt>
                <c:pt idx="67">
                  <c:v>104.29487390892749</c:v>
                </c:pt>
                <c:pt idx="68">
                  <c:v>106.1927286465103</c:v>
                </c:pt>
                <c:pt idx="69">
                  <c:v>108.57987060189097</c:v>
                </c:pt>
                <c:pt idx="70">
                  <c:v>106.68201586430816</c:v>
                </c:pt>
              </c:numCache>
            </c:numRef>
          </c:xVal>
          <c:yVal>
            <c:numRef>
              <c:f>Panels!$G$6:$G$95</c:f>
              <c:numCache>
                <c:formatCode>0.0</c:formatCode>
                <c:ptCount val="90"/>
                <c:pt idx="0">
                  <c:v>76.835000000000008</c:v>
                </c:pt>
                <c:pt idx="1">
                  <c:v>0</c:v>
                </c:pt>
                <c:pt idx="2">
                  <c:v>0</c:v>
                </c:pt>
                <c:pt idx="3">
                  <c:v>76.835000000000008</c:v>
                </c:pt>
                <c:pt idx="4">
                  <c:v>76.835000000000008</c:v>
                </c:pt>
                <c:pt idx="6">
                  <c:v>76.835000000000008</c:v>
                </c:pt>
                <c:pt idx="7">
                  <c:v>0</c:v>
                </c:pt>
                <c:pt idx="8">
                  <c:v>0</c:v>
                </c:pt>
                <c:pt idx="9">
                  <c:v>76.835000000000008</c:v>
                </c:pt>
                <c:pt idx="10">
                  <c:v>76.835000000000008</c:v>
                </c:pt>
                <c:pt idx="12">
                  <c:v>76.835000000000008</c:v>
                </c:pt>
                <c:pt idx="13">
                  <c:v>76.835000000000008</c:v>
                </c:pt>
                <c:pt idx="14">
                  <c:v>0</c:v>
                </c:pt>
                <c:pt idx="15">
                  <c:v>0</c:v>
                </c:pt>
                <c:pt idx="16">
                  <c:v>76.835000000000008</c:v>
                </c:pt>
                <c:pt idx="18">
                  <c:v>1.9</c:v>
                </c:pt>
                <c:pt idx="19">
                  <c:v>1.9</c:v>
                </c:pt>
                <c:pt idx="20">
                  <c:v>0</c:v>
                </c:pt>
                <c:pt idx="21">
                  <c:v>0</c:v>
                </c:pt>
                <c:pt idx="22">
                  <c:v>1.9</c:v>
                </c:pt>
                <c:pt idx="24">
                  <c:v>76.835000000000008</c:v>
                </c:pt>
                <c:pt idx="25">
                  <c:v>76.835000000000008</c:v>
                </c:pt>
                <c:pt idx="26">
                  <c:v>74.935000000000002</c:v>
                </c:pt>
                <c:pt idx="27">
                  <c:v>74.935000000000002</c:v>
                </c:pt>
                <c:pt idx="28">
                  <c:v>76.835000000000008</c:v>
                </c:pt>
                <c:pt idx="30">
                  <c:v>76.98877323662677</c:v>
                </c:pt>
                <c:pt idx="31">
                  <c:v>29.68015853775065</c:v>
                </c:pt>
                <c:pt idx="32">
                  <c:v>29.526385301123888</c:v>
                </c:pt>
                <c:pt idx="33">
                  <c:v>76.835000000000008</c:v>
                </c:pt>
                <c:pt idx="34">
                  <c:v>76.98877323662677</c:v>
                </c:pt>
                <c:pt idx="36">
                  <c:v>29.68015853775065</c:v>
                </c:pt>
                <c:pt idx="37">
                  <c:v>27.786391447610647</c:v>
                </c:pt>
                <c:pt idx="38">
                  <c:v>24.719753029129816</c:v>
                </c:pt>
                <c:pt idx="39">
                  <c:v>26.613520119269818</c:v>
                </c:pt>
                <c:pt idx="40">
                  <c:v>29.68015853775065</c:v>
                </c:pt>
                <c:pt idx="42">
                  <c:v>29.012946596280582</c:v>
                </c:pt>
                <c:pt idx="43">
                  <c:v>68.040682321040364</c:v>
                </c:pt>
                <c:pt idx="44">
                  <c:v>68.284248750633637</c:v>
                </c:pt>
                <c:pt idx="45">
                  <c:v>29.256513025873851</c:v>
                </c:pt>
                <c:pt idx="46">
                  <c:v>29.012946596280582</c:v>
                </c:pt>
                <c:pt idx="48">
                  <c:v>68.284248750633637</c:v>
                </c:pt>
                <c:pt idx="49">
                  <c:v>65.25904275321588</c:v>
                </c:pt>
                <c:pt idx="50">
                  <c:v>63.361188015633054</c:v>
                </c:pt>
                <c:pt idx="51">
                  <c:v>66.386394013050818</c:v>
                </c:pt>
                <c:pt idx="52">
                  <c:v>68.284248750633637</c:v>
                </c:pt>
                <c:pt idx="54">
                  <c:v>46.329287296147569</c:v>
                </c:pt>
                <c:pt idx="55">
                  <c:v>46.329287296147569</c:v>
                </c:pt>
                <c:pt idx="56">
                  <c:v>48.229287296147568</c:v>
                </c:pt>
                <c:pt idx="57">
                  <c:v>48.229287296147568</c:v>
                </c:pt>
                <c:pt idx="58">
                  <c:v>46.329287296147569</c:v>
                </c:pt>
                <c:pt idx="60">
                  <c:v>1.9</c:v>
                </c:pt>
                <c:pt idx="61">
                  <c:v>46.329287296147569</c:v>
                </c:pt>
                <c:pt idx="62">
                  <c:v>46.329287296147569</c:v>
                </c:pt>
                <c:pt idx="63">
                  <c:v>1.9</c:v>
                </c:pt>
                <c:pt idx="64">
                  <c:v>1.9</c:v>
                </c:pt>
                <c:pt idx="66">
                  <c:v>65.25904275321588</c:v>
                </c:pt>
                <c:pt idx="67">
                  <c:v>15.067351815142317</c:v>
                </c:pt>
                <c:pt idx="68">
                  <c:v>14.977088893438969</c:v>
                </c:pt>
                <c:pt idx="69">
                  <c:v>65.168779831512538</c:v>
                </c:pt>
                <c:pt idx="70">
                  <c:v>65.25904275321588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44-435C-908D-F53474E768FE}"/>
            </c:ext>
          </c:extLst>
        </c:ser>
        <c:ser>
          <c:idx val="6"/>
          <c:order val="1"/>
          <c:tx>
            <c:v>Driver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Panels!$V$86:$V$101</c:f>
              <c:numCache>
                <c:formatCode>0.0</c:formatCode>
                <c:ptCount val="16"/>
                <c:pt idx="0">
                  <c:v>32.807386829029362</c:v>
                </c:pt>
                <c:pt idx="1">
                  <c:v>31.269654462761739</c:v>
                </c:pt>
                <c:pt idx="2">
                  <c:v>15.122798220515406</c:v>
                </c:pt>
                <c:pt idx="3">
                  <c:v>15.810731121214081</c:v>
                </c:pt>
                <c:pt idx="4">
                  <c:v>21.791048247971982</c:v>
                </c:pt>
                <c:pt idx="5">
                  <c:v>32.718360218350711</c:v>
                </c:pt>
                <c:pt idx="7">
                  <c:v>29.731922096494113</c:v>
                </c:pt>
                <c:pt idx="8">
                  <c:v>31.269654462761739</c:v>
                </c:pt>
                <c:pt idx="9">
                  <c:v>15.122798220515406</c:v>
                </c:pt>
                <c:pt idx="10">
                  <c:v>14.434865319816732</c:v>
                </c:pt>
                <c:pt idx="11">
                  <c:v>20.415182446574633</c:v>
                </c:pt>
                <c:pt idx="12">
                  <c:v>29.820948707172764</c:v>
                </c:pt>
                <c:pt idx="14">
                  <c:v>20.415182446574633</c:v>
                </c:pt>
                <c:pt idx="15">
                  <c:v>21.791048247971982</c:v>
                </c:pt>
              </c:numCache>
            </c:numRef>
          </c:xVal>
          <c:yVal>
            <c:numRef>
              <c:f>Panels!$W$86:$W$101</c:f>
              <c:numCache>
                <c:formatCode>0.0</c:formatCode>
                <c:ptCount val="16"/>
                <c:pt idx="0">
                  <c:v>66.558780819424356</c:v>
                </c:pt>
                <c:pt idx="1">
                  <c:v>47.621109918024345</c:v>
                </c:pt>
                <c:pt idx="2">
                  <c:v>48.93222909347358</c:v>
                </c:pt>
                <c:pt idx="3">
                  <c:v>57.40434502304727</c:v>
                </c:pt>
                <c:pt idx="4">
                  <c:v>56.918745328436444</c:v>
                </c:pt>
                <c:pt idx="5">
                  <c:v>65.462389346185418</c:v>
                </c:pt>
                <c:pt idx="7">
                  <c:v>28.683439016624327</c:v>
                </c:pt>
                <c:pt idx="8">
                  <c:v>47.621109918024345</c:v>
                </c:pt>
                <c:pt idx="9">
                  <c:v>48.93222909347358</c:v>
                </c:pt>
                <c:pt idx="10">
                  <c:v>40.460113163899891</c:v>
                </c:pt>
                <c:pt idx="11">
                  <c:v>39.974513469289064</c:v>
                </c:pt>
                <c:pt idx="12">
                  <c:v>29.779830489863276</c:v>
                </c:pt>
                <c:pt idx="14">
                  <c:v>39.974513469289064</c:v>
                </c:pt>
                <c:pt idx="15">
                  <c:v>56.918745328436444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44-435C-908D-F53474E768FE}"/>
            </c:ext>
          </c:extLst>
        </c:ser>
        <c:ser>
          <c:idx val="0"/>
          <c:order val="2"/>
          <c:tx>
            <c:v>Axes</c:v>
          </c:tx>
          <c:spPr>
            <a:ln>
              <a:noFill/>
            </a:ln>
          </c:spPr>
          <c:marker>
            <c:symbol val="none"/>
          </c:marker>
          <c:xVal>
            <c:numRef>
              <c:f>Panels!$S$106:$S$110</c:f>
              <c:numCache>
                <c:formatCode>0.0</c:formatCode>
                <c:ptCount val="5"/>
                <c:pt idx="0">
                  <c:v>-5</c:v>
                </c:pt>
                <c:pt idx="1">
                  <c:v>-5</c:v>
                </c:pt>
                <c:pt idx="3">
                  <c:v>-5</c:v>
                </c:pt>
                <c:pt idx="4">
                  <c:v>120.65</c:v>
                </c:pt>
              </c:numCache>
            </c:numRef>
          </c:xVal>
          <c:yVal>
            <c:numRef>
              <c:f>Panels!$T$106:$T$110</c:f>
              <c:numCache>
                <c:formatCode>0.0</c:formatCode>
                <c:ptCount val="5"/>
                <c:pt idx="0">
                  <c:v>-5</c:v>
                </c:pt>
                <c:pt idx="1">
                  <c:v>120.65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844-435C-908D-F53474E768FE}"/>
            </c:ext>
          </c:extLst>
        </c:ser>
        <c:ser>
          <c:idx val="3"/>
          <c:order val="3"/>
          <c:tx>
            <c:v>Guides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Guides!$F$2:$F$25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Guides!$G$2:$G$25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844-435C-908D-F53474E768FE}"/>
            </c:ext>
          </c:extLst>
        </c:ser>
        <c:ser>
          <c:idx val="4"/>
          <c:order val="4"/>
          <c:tx>
            <c:v>Cone Compensation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Path!$AP$62:$AP$64</c:f>
              <c:numCache>
                <c:formatCode>0.0</c:formatCode>
                <c:ptCount val="3"/>
              </c:numCache>
            </c:numRef>
          </c:xVal>
          <c:yVal>
            <c:numRef>
              <c:f>Path!$AQ$62:$AQ$64</c:f>
              <c:numCache>
                <c:formatCode>0.0</c:formatCode>
                <c:ptCount val="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844-435C-908D-F53474E768FE}"/>
            </c:ext>
          </c:extLst>
        </c:ser>
        <c:ser>
          <c:idx val="7"/>
          <c:order val="5"/>
          <c:tx>
            <c:v>Braces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Bracing!$F$2:$F$28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Bracing!$G$2:$G$28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844-435C-908D-F53474E76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209264"/>
        <c:axId val="197210440"/>
      </c:scatterChart>
      <c:valAx>
        <c:axId val="197209264"/>
        <c:scaling>
          <c:orientation val="minMax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Width</a:t>
                </a:r>
              </a:p>
            </c:rich>
          </c:tx>
          <c:layout>
            <c:manualLayout>
              <c:xMode val="edge"/>
              <c:yMode val="edge"/>
              <c:x val="0.51342287063615377"/>
              <c:y val="0.935367900121608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197210440"/>
        <c:crosses val="autoZero"/>
        <c:crossBetween val="midCat"/>
      </c:valAx>
      <c:valAx>
        <c:axId val="197210440"/>
        <c:scaling>
          <c:orientation val="minMax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</a:t>
                </a:r>
              </a:p>
            </c:rich>
          </c:tx>
          <c:layout>
            <c:manualLayout>
              <c:xMode val="edge"/>
              <c:yMode val="edge"/>
              <c:x val="1.789727789043092E-2"/>
              <c:y val="0.4544857474211072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197209264"/>
        <c:crosses val="autoZero"/>
        <c:crossBetween val="midCat"/>
      </c:valAx>
      <c:spPr>
        <a:noFill/>
        <a:ln w="12700">
          <a:solidFill>
            <a:srgbClr val="00000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-4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85724</xdr:colOff>
      <xdr:row>39</xdr:row>
      <xdr:rowOff>88900</xdr:rowOff>
    </xdr:from>
    <xdr:to>
      <xdr:col>25</xdr:col>
      <xdr:colOff>409574</xdr:colOff>
      <xdr:row>65</xdr:row>
      <xdr:rowOff>3174</xdr:rowOff>
    </xdr:to>
    <xdr:graphicFrame macro="">
      <xdr:nvGraphicFramePr>
        <xdr:cNvPr id="1095744" name="Chart 5">
          <a:extLst>
            <a:ext uri="{FF2B5EF4-FFF2-40B4-BE49-F238E27FC236}">
              <a16:creationId xmlns:a16="http://schemas.microsoft.com/office/drawing/2014/main" id="{00000000-0008-0000-0000-000040B81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95256</xdr:colOff>
      <xdr:row>0</xdr:row>
      <xdr:rowOff>104778</xdr:rowOff>
    </xdr:from>
    <xdr:to>
      <xdr:col>25</xdr:col>
      <xdr:colOff>419106</xdr:colOff>
      <xdr:row>35</xdr:row>
      <xdr:rowOff>3</xdr:rowOff>
    </xdr:to>
    <xdr:graphicFrame macro="">
      <xdr:nvGraphicFramePr>
        <xdr:cNvPr id="1095745" name="Chart 6">
          <a:extLst>
            <a:ext uri="{FF2B5EF4-FFF2-40B4-BE49-F238E27FC236}">
              <a16:creationId xmlns:a16="http://schemas.microsoft.com/office/drawing/2014/main" id="{00000000-0008-0000-0000-000041B81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95250</xdr:rowOff>
        </xdr:from>
        <xdr:to>
          <xdr:col>10</xdr:col>
          <xdr:colOff>219075</xdr:colOff>
          <xdr:row>28</xdr:row>
          <xdr:rowOff>66675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029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Optimize!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</xdr:row>
          <xdr:rowOff>9525</xdr:rowOff>
        </xdr:from>
        <xdr:to>
          <xdr:col>10</xdr:col>
          <xdr:colOff>209550</xdr:colOff>
          <xdr:row>31</xdr:row>
          <xdr:rowOff>133350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029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Export!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18</xdr:col>
      <xdr:colOff>209550</xdr:colOff>
      <xdr:row>33</xdr:row>
      <xdr:rowOff>142875</xdr:rowOff>
    </xdr:to>
    <xdr:graphicFrame macro="">
      <xdr:nvGraphicFramePr>
        <xdr:cNvPr id="994361" name="Chart 6">
          <a:extLst>
            <a:ext uri="{FF2B5EF4-FFF2-40B4-BE49-F238E27FC236}">
              <a16:creationId xmlns:a16="http://schemas.microsoft.com/office/drawing/2014/main" id="{00000000-0008-0000-0300-0000392C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</xdr:row>
      <xdr:rowOff>114299</xdr:rowOff>
    </xdr:from>
    <xdr:to>
      <xdr:col>23</xdr:col>
      <xdr:colOff>581025</xdr:colOff>
      <xdr:row>63</xdr:row>
      <xdr:rowOff>133349</xdr:rowOff>
    </xdr:to>
    <xdr:graphicFrame macro="">
      <xdr:nvGraphicFramePr>
        <xdr:cNvPr id="1020977" name="Chart 6">
          <a:extLst>
            <a:ext uri="{FF2B5EF4-FFF2-40B4-BE49-F238E27FC236}">
              <a16:creationId xmlns:a16="http://schemas.microsoft.com/office/drawing/2014/main" id="{00000000-0008-0000-0400-000031940F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209550</xdr:colOff>
      <xdr:row>33</xdr:row>
      <xdr:rowOff>142875</xdr:rowOff>
    </xdr:to>
    <xdr:graphicFrame macro="">
      <xdr:nvGraphicFramePr>
        <xdr:cNvPr id="1058856" name="Chart 6">
          <a:extLst>
            <a:ext uri="{FF2B5EF4-FFF2-40B4-BE49-F238E27FC236}">
              <a16:creationId xmlns:a16="http://schemas.microsoft.com/office/drawing/2014/main" id="{00000000-0008-0000-0600-00002828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R335"/>
  <sheetViews>
    <sheetView showGridLines="0" tabSelected="1" zoomScaleNormal="100" workbookViewId="0">
      <selection activeCell="D114" sqref="D114"/>
    </sheetView>
  </sheetViews>
  <sheetFormatPr defaultColWidth="9.140625" defaultRowHeight="11.25" x14ac:dyDescent="0.2"/>
  <cols>
    <col min="1" max="1" width="2.140625" style="1" bestFit="1" customWidth="1"/>
    <col min="2" max="2" width="16.140625" style="1" customWidth="1"/>
    <col min="3" max="3" width="2.7109375" style="1" bestFit="1" customWidth="1"/>
    <col min="4" max="4" width="6.5703125" style="1" bestFit="1" customWidth="1"/>
    <col min="5" max="5" width="4.85546875" style="1" bestFit="1" customWidth="1"/>
    <col min="6" max="6" width="5" style="1" customWidth="1"/>
    <col min="7" max="7" width="4.5703125" style="1" bestFit="1" customWidth="1"/>
    <col min="8" max="8" width="6.42578125" style="1" bestFit="1" customWidth="1"/>
    <col min="9" max="9" width="5.7109375" style="1" customWidth="1"/>
    <col min="10" max="10" width="9.7109375" style="1" bestFit="1" customWidth="1"/>
    <col min="11" max="11" width="4.85546875" style="1" customWidth="1"/>
    <col min="12" max="12" width="4.85546875" style="1" bestFit="1" customWidth="1"/>
    <col min="13" max="13" width="3.7109375" style="1" bestFit="1" customWidth="1"/>
    <col min="14" max="14" width="6" style="1" customWidth="1"/>
    <col min="15" max="15" width="4" style="1" bestFit="1" customWidth="1"/>
    <col min="16" max="16" width="10.42578125" style="1" bestFit="1" customWidth="1"/>
    <col min="17" max="17" width="3.7109375" style="1" bestFit="1" customWidth="1"/>
    <col min="18" max="18" width="4" style="1" bestFit="1" customWidth="1"/>
    <col min="19" max="19" width="4.85546875" style="1" bestFit="1" customWidth="1"/>
    <col min="20" max="20" width="5.7109375" style="1" bestFit="1" customWidth="1"/>
    <col min="21" max="22" width="4.85546875" style="1" bestFit="1" customWidth="1"/>
    <col min="23" max="23" width="5.7109375" style="1" bestFit="1" customWidth="1"/>
    <col min="24" max="24" width="4.85546875" style="1" bestFit="1" customWidth="1"/>
    <col min="25" max="26" width="9.85546875" style="1" customWidth="1"/>
    <col min="27" max="27" width="2.5703125" style="1" customWidth="1"/>
    <col min="28" max="28" width="3.85546875" style="1" customWidth="1"/>
    <col min="29" max="29" width="2.7109375" style="1" bestFit="1" customWidth="1"/>
    <col min="30" max="30" width="5.28515625" style="1" bestFit="1" customWidth="1"/>
    <col min="31" max="31" width="5.7109375" style="1" bestFit="1" customWidth="1"/>
    <col min="32" max="32" width="7.42578125" style="1" bestFit="1" customWidth="1"/>
    <col min="33" max="33" width="5.28515625" style="1" bestFit="1" customWidth="1"/>
    <col min="34" max="34" width="4" style="1" bestFit="1" customWidth="1"/>
    <col min="35" max="35" width="4.42578125" style="1" bestFit="1" customWidth="1"/>
    <col min="36" max="36" width="5.42578125" style="1" bestFit="1" customWidth="1"/>
    <col min="37" max="37" width="4.5703125" style="1" bestFit="1" customWidth="1"/>
    <col min="38" max="38" width="4.85546875" style="1" bestFit="1" customWidth="1"/>
    <col min="39" max="39" width="3" style="1" bestFit="1" customWidth="1"/>
    <col min="40" max="40" width="4" style="1" bestFit="1" customWidth="1"/>
    <col min="41" max="41" width="4.85546875" style="1" bestFit="1" customWidth="1"/>
    <col min="42" max="43" width="4.42578125" style="1" bestFit="1" customWidth="1"/>
    <col min="44" max="44" width="5" style="1" bestFit="1" customWidth="1"/>
    <col min="45" max="45" width="2" style="1" bestFit="1" customWidth="1"/>
    <col min="46" max="46" width="4.42578125" style="1" bestFit="1" customWidth="1"/>
    <col min="47" max="47" width="5" style="1" bestFit="1" customWidth="1"/>
    <col min="48" max="48" width="3.7109375" style="1" bestFit="1" customWidth="1"/>
    <col min="49" max="16384" width="9.140625" style="1"/>
  </cols>
  <sheetData>
    <row r="1" spans="2:32" x14ac:dyDescent="0.2">
      <c r="B1" s="9" t="s">
        <v>180</v>
      </c>
      <c r="C1" s="9" t="s">
        <v>0</v>
      </c>
      <c r="D1" s="5" t="s">
        <v>183</v>
      </c>
    </row>
    <row r="3" spans="2:32" ht="12" thickBot="1" x14ac:dyDescent="0.25">
      <c r="B3" s="9" t="s">
        <v>70</v>
      </c>
    </row>
    <row r="4" spans="2:32" ht="12" thickBot="1" x14ac:dyDescent="0.25">
      <c r="B4" s="50" t="s">
        <v>24</v>
      </c>
      <c r="C4" s="51" t="s">
        <v>0</v>
      </c>
      <c r="D4" s="181">
        <v>38</v>
      </c>
      <c r="E4" s="1" t="s">
        <v>22</v>
      </c>
      <c r="F4" s="46">
        <f>D4/2.54</f>
        <v>14.960629921259843</v>
      </c>
      <c r="G4" s="1" t="s">
        <v>58</v>
      </c>
      <c r="H4" s="14"/>
      <c r="I4" s="15" t="s">
        <v>27</v>
      </c>
      <c r="J4" s="15"/>
      <c r="K4" s="16"/>
    </row>
    <row r="5" spans="2:32" ht="13.5" thickBot="1" x14ac:dyDescent="0.25">
      <c r="B5" s="50" t="s">
        <v>29</v>
      </c>
      <c r="C5" s="51" t="s">
        <v>0</v>
      </c>
      <c r="D5" s="181">
        <v>35.799999999999997</v>
      </c>
      <c r="E5" s="1" t="s">
        <v>22</v>
      </c>
      <c r="F5" s="44">
        <f>D5/2.54</f>
        <v>14.094488188976376</v>
      </c>
      <c r="G5" s="1" t="s">
        <v>58</v>
      </c>
      <c r="H5" s="284" t="s">
        <v>5</v>
      </c>
      <c r="I5" s="273" t="s">
        <v>91</v>
      </c>
      <c r="J5" s="274"/>
      <c r="K5" s="275"/>
    </row>
    <row r="6" spans="2:32" ht="13.5" thickBot="1" x14ac:dyDescent="0.25">
      <c r="B6" s="50" t="s">
        <v>34</v>
      </c>
      <c r="C6" s="51" t="s">
        <v>0</v>
      </c>
      <c r="D6" s="181">
        <v>16.2</v>
      </c>
      <c r="E6" s="1" t="s">
        <v>22</v>
      </c>
      <c r="F6" s="46">
        <f>D6/2.54</f>
        <v>6.3779527559055111</v>
      </c>
      <c r="G6" s="1" t="s">
        <v>58</v>
      </c>
      <c r="H6" s="285" t="s">
        <v>5</v>
      </c>
      <c r="I6" s="271" t="s">
        <v>90</v>
      </c>
      <c r="J6" s="287"/>
      <c r="K6" s="272"/>
    </row>
    <row r="7" spans="2:32" ht="13.5" thickBot="1" x14ac:dyDescent="0.25">
      <c r="B7" s="50" t="s">
        <v>25</v>
      </c>
      <c r="C7" s="51" t="s">
        <v>0</v>
      </c>
      <c r="D7" s="181">
        <v>17</v>
      </c>
      <c r="E7" s="1" t="s">
        <v>22</v>
      </c>
      <c r="F7" s="46">
        <f>D7/2.54</f>
        <v>6.6929133858267713</v>
      </c>
      <c r="G7" s="1" t="s">
        <v>58</v>
      </c>
      <c r="H7" s="285" t="s">
        <v>5</v>
      </c>
      <c r="I7" s="271" t="s">
        <v>92</v>
      </c>
      <c r="J7" s="287"/>
      <c r="K7" s="272"/>
    </row>
    <row r="8" spans="2:32" ht="13.5" thickBot="1" x14ac:dyDescent="0.25">
      <c r="B8" s="52" t="s">
        <v>26</v>
      </c>
      <c r="C8" s="53" t="s">
        <v>0</v>
      </c>
      <c r="D8" s="182">
        <v>6</v>
      </c>
      <c r="E8" s="1" t="s">
        <v>22</v>
      </c>
      <c r="F8" s="45">
        <f>D8/2.54</f>
        <v>2.3622047244094486</v>
      </c>
      <c r="G8" s="1" t="s">
        <v>58</v>
      </c>
      <c r="H8" s="285" t="s">
        <v>5</v>
      </c>
      <c r="I8" s="271" t="s">
        <v>93</v>
      </c>
      <c r="J8" s="287"/>
      <c r="K8" s="272"/>
    </row>
    <row r="9" spans="2:32" ht="12.75" x14ac:dyDescent="0.2">
      <c r="H9" s="285" t="s">
        <v>5</v>
      </c>
      <c r="I9" s="271" t="s">
        <v>94</v>
      </c>
      <c r="J9" s="287"/>
      <c r="K9" s="272"/>
    </row>
    <row r="10" spans="2:32" ht="13.5" thickBot="1" x14ac:dyDescent="0.25">
      <c r="B10" s="9" t="s">
        <v>69</v>
      </c>
      <c r="H10" s="285" t="s">
        <v>5</v>
      </c>
      <c r="I10" s="271" t="s">
        <v>95</v>
      </c>
      <c r="J10" s="287"/>
      <c r="K10" s="272"/>
    </row>
    <row r="11" spans="2:32" ht="13.5" thickBot="1" x14ac:dyDescent="0.25">
      <c r="B11" s="10" t="s">
        <v>47</v>
      </c>
      <c r="C11" s="11" t="s">
        <v>0</v>
      </c>
      <c r="D11" s="83">
        <f>30.25*2.54</f>
        <v>76.835000000000008</v>
      </c>
      <c r="E11" s="1" t="s">
        <v>22</v>
      </c>
      <c r="F11" s="46">
        <f>D11/2.54</f>
        <v>30.250000000000004</v>
      </c>
      <c r="G11" s="1" t="s">
        <v>58</v>
      </c>
      <c r="H11" s="285" t="s">
        <v>5</v>
      </c>
      <c r="I11" s="239" t="s">
        <v>133</v>
      </c>
      <c r="J11" s="161"/>
      <c r="K11" s="162"/>
    </row>
    <row r="12" spans="2:32" ht="13.5" thickBot="1" x14ac:dyDescent="0.25">
      <c r="B12" s="39" t="s">
        <v>49</v>
      </c>
      <c r="C12" s="40" t="s">
        <v>0</v>
      </c>
      <c r="D12" s="84">
        <f>24*2.54</f>
        <v>60.96</v>
      </c>
      <c r="E12" s="1" t="s">
        <v>22</v>
      </c>
      <c r="F12" s="46">
        <f>D12/2.54</f>
        <v>24</v>
      </c>
      <c r="G12" s="1" t="s">
        <v>58</v>
      </c>
      <c r="H12" s="285" t="s">
        <v>5</v>
      </c>
      <c r="I12" s="239" t="s">
        <v>109</v>
      </c>
      <c r="J12" s="161"/>
      <c r="K12" s="162"/>
    </row>
    <row r="13" spans="2:32" ht="13.5" thickBot="1" x14ac:dyDescent="0.25">
      <c r="B13" s="10" t="s">
        <v>48</v>
      </c>
      <c r="C13" s="41" t="s">
        <v>0</v>
      </c>
      <c r="D13" s="83">
        <f>47.5*2.54</f>
        <v>120.65</v>
      </c>
      <c r="E13" s="18" t="s">
        <v>22</v>
      </c>
      <c r="F13" s="45">
        <f>D13/2.54</f>
        <v>47.5</v>
      </c>
      <c r="G13" s="1" t="s">
        <v>58</v>
      </c>
      <c r="H13" s="285" t="s">
        <v>5</v>
      </c>
      <c r="I13" s="239" t="s">
        <v>110</v>
      </c>
      <c r="J13" s="161"/>
      <c r="K13" s="162"/>
    </row>
    <row r="14" spans="2:32" ht="12.75" x14ac:dyDescent="0.2">
      <c r="B14" s="240"/>
      <c r="C14" s="18"/>
      <c r="D14" s="241"/>
      <c r="E14" s="18"/>
      <c r="F14" s="242"/>
      <c r="H14" s="285" t="s">
        <v>5</v>
      </c>
      <c r="I14" s="239" t="s">
        <v>176</v>
      </c>
      <c r="J14" s="161"/>
      <c r="K14" s="162"/>
    </row>
    <row r="15" spans="2:32" ht="13.5" thickBot="1" x14ac:dyDescent="0.25">
      <c r="B15" s="240"/>
      <c r="C15" s="18"/>
      <c r="D15" s="241"/>
      <c r="E15" s="18"/>
      <c r="F15" s="242"/>
      <c r="H15" s="286" t="s">
        <v>5</v>
      </c>
      <c r="I15" s="163" t="s">
        <v>177</v>
      </c>
      <c r="J15" s="164"/>
      <c r="K15" s="165"/>
    </row>
    <row r="16" spans="2:32" ht="12" thickBot="1" x14ac:dyDescent="0.25">
      <c r="F16" s="9"/>
      <c r="AE16" s="3"/>
      <c r="AF16" s="3"/>
    </row>
    <row r="17" spans="2:32" ht="12" thickBot="1" x14ac:dyDescent="0.25">
      <c r="B17" s="10" t="s">
        <v>85</v>
      </c>
      <c r="C17" s="11" t="s">
        <v>0</v>
      </c>
      <c r="D17" s="83">
        <v>0</v>
      </c>
      <c r="E17" s="1" t="s">
        <v>22</v>
      </c>
      <c r="F17" s="46">
        <f>D17/2.54</f>
        <v>0</v>
      </c>
      <c r="G17" s="1" t="s">
        <v>58</v>
      </c>
      <c r="H17" s="14"/>
      <c r="I17" s="15" t="s">
        <v>27</v>
      </c>
      <c r="J17" s="15"/>
      <c r="K17" s="16"/>
      <c r="AE17" s="3"/>
      <c r="AF17" s="3"/>
    </row>
    <row r="18" spans="2:32" ht="13.5" thickBot="1" x14ac:dyDescent="0.25">
      <c r="B18" s="19" t="s">
        <v>86</v>
      </c>
      <c r="C18" s="20" t="s">
        <v>0</v>
      </c>
      <c r="D18" s="166">
        <v>18</v>
      </c>
      <c r="E18" s="1" t="s">
        <v>22</v>
      </c>
      <c r="F18" s="46">
        <f>D18/2.54</f>
        <v>7.0866141732283463</v>
      </c>
      <c r="G18" s="1" t="s">
        <v>58</v>
      </c>
      <c r="H18" s="178" t="s">
        <v>5</v>
      </c>
      <c r="I18" s="157" t="s">
        <v>20</v>
      </c>
      <c r="J18" s="158"/>
      <c r="K18" s="159"/>
      <c r="AE18" s="3"/>
      <c r="AF18" s="3"/>
    </row>
    <row r="19" spans="2:32" ht="12.75" x14ac:dyDescent="0.2">
      <c r="H19" s="179" t="s">
        <v>60</v>
      </c>
      <c r="I19" s="160" t="s">
        <v>63</v>
      </c>
      <c r="J19" s="161"/>
      <c r="K19" s="162"/>
    </row>
    <row r="20" spans="2:32" ht="13.5" thickBot="1" x14ac:dyDescent="0.25">
      <c r="B20" s="9" t="s">
        <v>68</v>
      </c>
      <c r="H20" s="179" t="s">
        <v>5</v>
      </c>
      <c r="I20" s="160" t="s">
        <v>21</v>
      </c>
      <c r="J20" s="161"/>
      <c r="K20" s="162"/>
    </row>
    <row r="21" spans="2:32" ht="13.5" thickBot="1" x14ac:dyDescent="0.25">
      <c r="B21" s="47" t="s">
        <v>13</v>
      </c>
      <c r="C21" s="48" t="s">
        <v>0</v>
      </c>
      <c r="D21" s="198">
        <v>254</v>
      </c>
      <c r="E21" s="1" t="s">
        <v>18</v>
      </c>
      <c r="F21" s="3"/>
      <c r="H21" s="179" t="s">
        <v>60</v>
      </c>
      <c r="I21" s="160" t="s">
        <v>107</v>
      </c>
      <c r="J21" s="161"/>
      <c r="K21" s="162"/>
    </row>
    <row r="22" spans="2:32" ht="13.5" thickBot="1" x14ac:dyDescent="0.25">
      <c r="B22" s="47" t="s">
        <v>41</v>
      </c>
      <c r="C22" s="48" t="s">
        <v>0</v>
      </c>
      <c r="D22" s="49">
        <f>Path!H11</f>
        <v>302.78412323801348</v>
      </c>
      <c r="E22" s="1" t="s">
        <v>18</v>
      </c>
      <c r="H22" s="180" t="s">
        <v>60</v>
      </c>
      <c r="I22" s="163" t="s">
        <v>62</v>
      </c>
      <c r="J22" s="164"/>
      <c r="K22" s="165"/>
    </row>
    <row r="23" spans="2:32" ht="12" thickBot="1" x14ac:dyDescent="0.25">
      <c r="B23" s="47" t="s">
        <v>53</v>
      </c>
      <c r="C23" s="48" t="s">
        <v>0</v>
      </c>
      <c r="D23" s="49">
        <f>Path!H12</f>
        <v>1083.8688245480694</v>
      </c>
      <c r="E23" s="1" t="s">
        <v>18</v>
      </c>
      <c r="G23" s="12"/>
      <c r="AE23" s="3"/>
    </row>
    <row r="24" spans="2:32" ht="12" thickBot="1" x14ac:dyDescent="0.25">
      <c r="B24" s="47" t="s">
        <v>14</v>
      </c>
      <c r="C24" s="48" t="s">
        <v>0</v>
      </c>
      <c r="D24" s="49">
        <f>Path!H13</f>
        <v>1681.3214261638429</v>
      </c>
      <c r="E24" s="1" t="s">
        <v>18</v>
      </c>
    </row>
    <row r="25" spans="2:32" ht="12" thickBot="1" x14ac:dyDescent="0.25">
      <c r="B25" s="47" t="s">
        <v>54</v>
      </c>
      <c r="C25" s="48" t="s">
        <v>0</v>
      </c>
      <c r="D25" s="198">
        <v>1814.5</v>
      </c>
      <c r="E25" s="1" t="s">
        <v>18</v>
      </c>
    </row>
    <row r="26" spans="2:32" ht="12" thickBot="1" x14ac:dyDescent="0.25">
      <c r="B26" s="47" t="s">
        <v>23</v>
      </c>
      <c r="C26" s="48" t="s">
        <v>0</v>
      </c>
      <c r="D26" s="49">
        <f>Path!K11</f>
        <v>17.94214925155741</v>
      </c>
      <c r="E26" s="1" t="s">
        <v>22</v>
      </c>
    </row>
    <row r="27" spans="2:32" ht="12" thickBot="1" x14ac:dyDescent="0.25">
      <c r="B27" s="47" t="s">
        <v>57</v>
      </c>
      <c r="C27" s="48" t="s">
        <v>0</v>
      </c>
      <c r="D27" s="49">
        <f>Path!K12</f>
        <v>287.39464677854886</v>
      </c>
      <c r="E27" s="1" t="s">
        <v>22</v>
      </c>
    </row>
    <row r="28" spans="2:32" ht="12" thickBot="1" x14ac:dyDescent="0.25">
      <c r="B28" s="47" t="s">
        <v>56</v>
      </c>
      <c r="C28" s="48" t="s">
        <v>0</v>
      </c>
      <c r="D28" s="49">
        <f>Path!K13</f>
        <v>128.68875609132903</v>
      </c>
      <c r="E28" s="1" t="s">
        <v>22</v>
      </c>
      <c r="H28" s="102"/>
    </row>
    <row r="29" spans="2:32" ht="12" thickBot="1" x14ac:dyDescent="0.25">
      <c r="B29" s="47" t="s">
        <v>55</v>
      </c>
      <c r="C29" s="48" t="s">
        <v>0</v>
      </c>
      <c r="D29" s="49">
        <f>Path!K14</f>
        <v>28.720788152163891</v>
      </c>
      <c r="E29" s="1" t="s">
        <v>22</v>
      </c>
    </row>
    <row r="30" spans="2:32" ht="12" thickBot="1" x14ac:dyDescent="0.25">
      <c r="B30" s="47" t="s">
        <v>113</v>
      </c>
      <c r="C30" s="48" t="s">
        <v>0</v>
      </c>
      <c r="D30" s="49">
        <f>D37-D38</f>
        <v>3000</v>
      </c>
      <c r="E30" s="12" t="s">
        <v>112</v>
      </c>
    </row>
    <row r="31" spans="2:32" ht="12" thickBot="1" x14ac:dyDescent="0.25">
      <c r="B31" s="47" t="s">
        <v>114</v>
      </c>
      <c r="C31" s="48" t="s">
        <v>0</v>
      </c>
      <c r="D31" s="49">
        <f>D97</f>
        <v>823.72</v>
      </c>
      <c r="E31" s="12" t="s">
        <v>18</v>
      </c>
    </row>
    <row r="32" spans="2:32" ht="12" thickBot="1" x14ac:dyDescent="0.25">
      <c r="B32" s="47" t="s">
        <v>46</v>
      </c>
      <c r="C32" s="48" t="s">
        <v>0</v>
      </c>
      <c r="D32" s="49">
        <f>Path!K15</f>
        <v>462.74634027359917</v>
      </c>
      <c r="E32" s="1" t="s">
        <v>22</v>
      </c>
    </row>
    <row r="33" spans="2:11" ht="12" thickBot="1" x14ac:dyDescent="0.25"/>
    <row r="34" spans="2:11" ht="12" thickBot="1" x14ac:dyDescent="0.25">
      <c r="B34" s="10" t="s">
        <v>165</v>
      </c>
      <c r="C34" s="11" t="s">
        <v>0</v>
      </c>
      <c r="D34" s="213">
        <f>D25^0.5+2*D51</f>
        <v>46.396948247497726</v>
      </c>
      <c r="E34" s="1" t="s">
        <v>22</v>
      </c>
      <c r="F34" s="46">
        <f>D34/2.54</f>
        <v>18.26651505806997</v>
      </c>
      <c r="G34" s="1" t="s">
        <v>58</v>
      </c>
    </row>
    <row r="35" spans="2:11" ht="12" thickBot="1" x14ac:dyDescent="0.25">
      <c r="B35" s="10" t="s">
        <v>167</v>
      </c>
      <c r="C35" s="11" t="s">
        <v>0</v>
      </c>
      <c r="D35" s="213">
        <f>D97/(D22+D39)</f>
        <v>2.318824745598187</v>
      </c>
    </row>
    <row r="36" spans="2:11" ht="12" thickBot="1" x14ac:dyDescent="0.25"/>
    <row r="37" spans="2:11" ht="12" thickBot="1" x14ac:dyDescent="0.25">
      <c r="B37" s="10" t="s">
        <v>116</v>
      </c>
      <c r="C37" s="11" t="s">
        <v>0</v>
      </c>
      <c r="D37" s="177">
        <v>3000</v>
      </c>
      <c r="E37" s="12" t="s">
        <v>112</v>
      </c>
    </row>
    <row r="38" spans="2:11" ht="12" thickBot="1" x14ac:dyDescent="0.25">
      <c r="B38" s="10" t="s">
        <v>115</v>
      </c>
      <c r="C38" s="41" t="s">
        <v>0</v>
      </c>
      <c r="D38" s="177">
        <v>0</v>
      </c>
      <c r="E38" s="1" t="s">
        <v>112</v>
      </c>
    </row>
    <row r="39" spans="2:11" ht="12" thickBot="1" x14ac:dyDescent="0.25">
      <c r="B39" s="19" t="s">
        <v>168</v>
      </c>
      <c r="C39" s="20" t="s">
        <v>0</v>
      </c>
      <c r="D39" s="176">
        <f>D37/E50</f>
        <v>52.447552447552447</v>
      </c>
      <c r="E39" s="1" t="s">
        <v>18</v>
      </c>
    </row>
    <row r="40" spans="2:11" ht="12" thickBot="1" x14ac:dyDescent="0.25">
      <c r="B40" s="19" t="s">
        <v>172</v>
      </c>
      <c r="C40" s="20" t="s">
        <v>0</v>
      </c>
      <c r="D40" s="217" t="s">
        <v>145</v>
      </c>
      <c r="E40" s="1" t="s">
        <v>173</v>
      </c>
    </row>
    <row r="42" spans="2:11" ht="12" thickBot="1" x14ac:dyDescent="0.25">
      <c r="B42" s="9" t="s">
        <v>71</v>
      </c>
    </row>
    <row r="43" spans="2:11" x14ac:dyDescent="0.2">
      <c r="B43" s="54" t="s">
        <v>16</v>
      </c>
      <c r="C43" s="55" t="s">
        <v>0</v>
      </c>
      <c r="D43" s="56">
        <f>D44-I65</f>
        <v>457.21187337927267</v>
      </c>
      <c r="E43" s="57" t="s">
        <v>15</v>
      </c>
      <c r="F43" s="58">
        <f>(D43*1000/2.54^3)/1728</f>
        <v>16.146284929496456</v>
      </c>
      <c r="G43" s="59" t="s">
        <v>2</v>
      </c>
      <c r="H43" s="59"/>
      <c r="I43" s="59"/>
      <c r="J43" s="59"/>
      <c r="K43" s="60"/>
    </row>
    <row r="44" spans="2:11" x14ac:dyDescent="0.2">
      <c r="B44" s="61" t="s">
        <v>17</v>
      </c>
      <c r="C44" s="62" t="s">
        <v>0</v>
      </c>
      <c r="D44" s="63">
        <f>(D11*D12*D13)/10^3</f>
        <v>565.10790204000011</v>
      </c>
      <c r="E44" s="64" t="s">
        <v>15</v>
      </c>
      <c r="F44" s="65">
        <f>(D44*1000/2.54^3)/1728</f>
        <v>19.956597222222225</v>
      </c>
      <c r="G44" s="66" t="s">
        <v>2</v>
      </c>
      <c r="H44" s="68" t="s">
        <v>121</v>
      </c>
      <c r="I44" s="66"/>
      <c r="J44" s="66"/>
      <c r="K44" s="67"/>
    </row>
    <row r="45" spans="2:11" x14ac:dyDescent="0.2">
      <c r="B45" s="61" t="s">
        <v>169</v>
      </c>
      <c r="C45" s="62" t="s">
        <v>0</v>
      </c>
      <c r="D45" s="82">
        <v>2.7229640864390294</v>
      </c>
      <c r="E45" s="66"/>
      <c r="F45" s="66"/>
      <c r="G45" s="66"/>
      <c r="H45" s="245">
        <f>Angle1-Path!M12</f>
        <v>6.8069335632348071E-4</v>
      </c>
      <c r="I45" s="66"/>
      <c r="J45" s="66"/>
      <c r="K45" s="67"/>
    </row>
    <row r="46" spans="2:11" x14ac:dyDescent="0.2">
      <c r="B46" s="61" t="s">
        <v>170</v>
      </c>
      <c r="C46" s="62" t="s">
        <v>0</v>
      </c>
      <c r="D46" s="82">
        <v>4.6422128437590908</v>
      </c>
      <c r="E46" s="66"/>
      <c r="F46" s="66"/>
      <c r="G46" s="66"/>
      <c r="H46" s="245">
        <f>Angle2-Path!M14</f>
        <v>-2.1691794730482883E-4</v>
      </c>
      <c r="I46" s="66"/>
      <c r="J46" s="66"/>
      <c r="K46" s="67"/>
    </row>
    <row r="47" spans="2:11" x14ac:dyDescent="0.2">
      <c r="B47" s="73"/>
      <c r="C47" s="66"/>
      <c r="D47" s="66"/>
      <c r="E47" s="66"/>
      <c r="F47" s="66"/>
      <c r="G47" s="66"/>
      <c r="H47" s="244"/>
      <c r="I47" s="66"/>
      <c r="J47" s="66"/>
      <c r="K47" s="67"/>
    </row>
    <row r="48" spans="2:11" x14ac:dyDescent="0.2">
      <c r="B48" s="61" t="s">
        <v>10</v>
      </c>
      <c r="C48" s="62"/>
      <c r="D48" s="68" t="s">
        <v>9</v>
      </c>
      <c r="E48" s="68" t="s">
        <v>5</v>
      </c>
      <c r="F48" s="68" t="s">
        <v>6</v>
      </c>
      <c r="G48" s="68"/>
      <c r="H48" s="245"/>
      <c r="I48" s="68" t="s">
        <v>11</v>
      </c>
      <c r="J48" s="68" t="s">
        <v>35</v>
      </c>
      <c r="K48" s="69"/>
    </row>
    <row r="49" spans="2:11" x14ac:dyDescent="0.2">
      <c r="B49" s="61" t="str">
        <f t="shared" ref="B49:B55" si="0">I5</f>
        <v>Panel A, top &amp; bottom</v>
      </c>
      <c r="C49" s="64"/>
      <c r="D49" s="80">
        <v>1.9</v>
      </c>
      <c r="E49" s="70">
        <f>ROUND(D12-2*D51,1)</f>
        <v>57.2</v>
      </c>
      <c r="F49" s="70">
        <f>ROUND(Panels!K7,1)</f>
        <v>76.8</v>
      </c>
      <c r="G49" s="71"/>
      <c r="H49" s="246"/>
      <c r="I49" s="185">
        <v>2</v>
      </c>
      <c r="J49" s="186">
        <f t="shared" ref="J49:J58" si="1">F49*E49*D49*I49/10^3</f>
        <v>16.693248000000001</v>
      </c>
      <c r="K49" s="67"/>
    </row>
    <row r="50" spans="2:11" x14ac:dyDescent="0.2">
      <c r="B50" s="61" t="str">
        <f t="shared" si="0"/>
        <v>Panel B, driver baffle</v>
      </c>
      <c r="C50" s="64"/>
      <c r="D50" s="80">
        <v>1.9</v>
      </c>
      <c r="E50" s="70">
        <f>E49</f>
        <v>57.2</v>
      </c>
      <c r="F50" s="81">
        <v>47.46432039919943</v>
      </c>
      <c r="G50" s="71"/>
      <c r="H50" s="245">
        <f>Path!U138</f>
        <v>-2.7639790425837418E-3</v>
      </c>
      <c r="I50" s="185">
        <v>1</v>
      </c>
      <c r="J50" s="186">
        <f t="shared" si="1"/>
        <v>5.1584223409849939</v>
      </c>
      <c r="K50" s="72"/>
    </row>
    <row r="51" spans="2:11" x14ac:dyDescent="0.2">
      <c r="B51" s="61" t="str">
        <f t="shared" si="0"/>
        <v>Panel C, sides</v>
      </c>
      <c r="C51" s="64"/>
      <c r="D51" s="80">
        <v>1.9</v>
      </c>
      <c r="E51" s="70">
        <f>ROUND(Panels!K19,1)</f>
        <v>120.7</v>
      </c>
      <c r="F51" s="70">
        <f>ROUND(Panels!K20,1)</f>
        <v>76.8</v>
      </c>
      <c r="G51" s="71"/>
      <c r="H51" s="246"/>
      <c r="I51" s="185">
        <v>2</v>
      </c>
      <c r="J51" s="186">
        <f t="shared" si="1"/>
        <v>35.225088</v>
      </c>
      <c r="K51" s="72"/>
    </row>
    <row r="52" spans="2:11" x14ac:dyDescent="0.2">
      <c r="B52" s="61" t="str">
        <f t="shared" si="0"/>
        <v>Panel D, back</v>
      </c>
      <c r="C52" s="64"/>
      <c r="D52" s="80">
        <v>1.9</v>
      </c>
      <c r="E52" s="70">
        <f>E50</f>
        <v>57.2</v>
      </c>
      <c r="F52" s="70">
        <f>ROUND(Panels!K25,1)</f>
        <v>116.9</v>
      </c>
      <c r="G52" s="71"/>
      <c r="H52" s="246"/>
      <c r="I52" s="185">
        <v>1</v>
      </c>
      <c r="J52" s="186">
        <f t="shared" si="1"/>
        <v>12.704692</v>
      </c>
      <c r="K52" s="72"/>
    </row>
    <row r="53" spans="2:11" x14ac:dyDescent="0.2">
      <c r="B53" s="61" t="str">
        <f t="shared" si="0"/>
        <v>Panel E, front</v>
      </c>
      <c r="C53" s="64"/>
      <c r="D53" s="80">
        <v>1.9</v>
      </c>
      <c r="E53" s="70">
        <f>E50</f>
        <v>57.2</v>
      </c>
      <c r="F53" s="81">
        <v>83.201934282470447</v>
      </c>
      <c r="G53" s="71"/>
      <c r="H53" s="245">
        <f>D25-Path!$H$14</f>
        <v>5.8085438513444387E-4</v>
      </c>
      <c r="I53" s="185">
        <v>1</v>
      </c>
      <c r="J53" s="186">
        <f t="shared" si="1"/>
        <v>9.0423862178188887</v>
      </c>
      <c r="K53" s="72"/>
    </row>
    <row r="54" spans="2:11" x14ac:dyDescent="0.2">
      <c r="B54" s="61" t="str">
        <f t="shared" si="0"/>
        <v>Panel F, 1st inside</v>
      </c>
      <c r="C54" s="64"/>
      <c r="D54" s="80">
        <v>1.9</v>
      </c>
      <c r="E54" s="70">
        <f>E50</f>
        <v>57.2</v>
      </c>
      <c r="F54" s="81">
        <v>37.8909433327198</v>
      </c>
      <c r="G54" s="71"/>
      <c r="H54" s="245">
        <f>Path!U129</f>
        <v>-6.2067752537586784E-4</v>
      </c>
      <c r="I54" s="185">
        <v>1</v>
      </c>
      <c r="J54" s="186">
        <f t="shared" si="1"/>
        <v>4.117987721399988</v>
      </c>
      <c r="K54" s="72"/>
    </row>
    <row r="55" spans="2:11" x14ac:dyDescent="0.2">
      <c r="B55" s="61" t="str">
        <f t="shared" si="0"/>
        <v>Panel G, 2nd inside</v>
      </c>
      <c r="C55" s="64"/>
      <c r="D55" s="80">
        <v>1.9</v>
      </c>
      <c r="E55" s="70">
        <f>E49</f>
        <v>57.2</v>
      </c>
      <c r="F55" s="81">
        <v>39.352422399207853</v>
      </c>
      <c r="G55" s="71"/>
      <c r="H55" s="245">
        <f>Path!U45</f>
        <v>-2.9697510109372161E-4</v>
      </c>
      <c r="I55" s="185">
        <v>1</v>
      </c>
      <c r="J55" s="186">
        <f t="shared" si="1"/>
        <v>4.2768212663459089</v>
      </c>
      <c r="K55" s="72"/>
    </row>
    <row r="56" spans="2:11" x14ac:dyDescent="0.2">
      <c r="B56" s="61"/>
      <c r="C56" s="64"/>
      <c r="D56" s="70"/>
      <c r="E56" s="70"/>
      <c r="F56" s="199">
        <v>6.3439748073332671</v>
      </c>
      <c r="G56" s="71"/>
      <c r="H56" s="245">
        <f>D21-Path!$H$10</f>
        <v>-7.8374287892302164E-4</v>
      </c>
      <c r="I56" s="185"/>
      <c r="J56" s="186"/>
      <c r="K56" s="72"/>
    </row>
    <row r="57" spans="2:11" x14ac:dyDescent="0.2">
      <c r="B57" s="61" t="str">
        <f>I12</f>
        <v>Panel H, 4th inside</v>
      </c>
      <c r="C57" s="64"/>
      <c r="D57" s="80">
        <v>1.9</v>
      </c>
      <c r="E57" s="70">
        <f>E49</f>
        <v>57.2</v>
      </c>
      <c r="F57" s="81">
        <v>63.679429899072034</v>
      </c>
      <c r="G57" s="71"/>
      <c r="H57" s="245">
        <f>Path!U57</f>
        <v>-1.0171183838565412E-3</v>
      </c>
      <c r="I57" s="185">
        <v>1</v>
      </c>
      <c r="J57" s="186">
        <f t="shared" si="1"/>
        <v>6.9206804414311494</v>
      </c>
      <c r="K57" s="72"/>
    </row>
    <row r="58" spans="2:11" x14ac:dyDescent="0.2">
      <c r="B58" s="61" t="str">
        <f>I13</f>
        <v>Panel I, 5th inside</v>
      </c>
      <c r="C58" s="64"/>
      <c r="D58" s="80">
        <v>1.9</v>
      </c>
      <c r="E58" s="70">
        <f>E49</f>
        <v>57.2</v>
      </c>
      <c r="F58" s="81">
        <v>31.90217909151426</v>
      </c>
      <c r="G58" s="66"/>
      <c r="H58" s="245">
        <f>Path!U102</f>
        <v>-1.3891540359054488E-3</v>
      </c>
      <c r="I58" s="185">
        <v>1</v>
      </c>
      <c r="J58" s="186">
        <f t="shared" si="1"/>
        <v>3.4671288236657696</v>
      </c>
      <c r="K58" s="72"/>
    </row>
    <row r="59" spans="2:11" x14ac:dyDescent="0.2">
      <c r="B59" s="61" t="str">
        <f>I14</f>
        <v>Panel J, 6th inside</v>
      </c>
      <c r="C59" s="64"/>
      <c r="D59" s="80">
        <v>1.9</v>
      </c>
      <c r="E59" s="70">
        <f>E49</f>
        <v>57.2</v>
      </c>
      <c r="F59" s="81">
        <v>44.429287296147571</v>
      </c>
      <c r="G59" s="66"/>
      <c r="H59" s="245">
        <f>Path!U93</f>
        <v>-1.9393768752706819E-4</v>
      </c>
      <c r="I59" s="185">
        <v>1</v>
      </c>
      <c r="J59" s="186">
        <f t="shared" ref="J59" si="2">F59*E59*D59*I59/10^3</f>
        <v>4.8285749433453171</v>
      </c>
      <c r="K59" s="72"/>
    </row>
    <row r="60" spans="2:11" x14ac:dyDescent="0.2">
      <c r="B60" s="73"/>
      <c r="C60" s="66"/>
      <c r="D60" s="66"/>
      <c r="E60" s="66"/>
      <c r="F60" s="81">
        <v>86.811643312677901</v>
      </c>
      <c r="G60" s="66"/>
      <c r="H60" s="245">
        <f>Path!U78</f>
        <v>-5.8895507777378953E-5</v>
      </c>
      <c r="I60" s="66"/>
      <c r="J60" s="66"/>
      <c r="K60" s="72"/>
    </row>
    <row r="61" spans="2:11" x14ac:dyDescent="0.2">
      <c r="B61" s="61" t="str">
        <f>I15</f>
        <v>Panel K, 7th inside</v>
      </c>
      <c r="C61" s="64"/>
      <c r="D61" s="80">
        <v>1.9</v>
      </c>
      <c r="E61" s="70">
        <f>E49</f>
        <v>57.2</v>
      </c>
      <c r="F61" s="81">
        <v>50.248425706067991</v>
      </c>
      <c r="G61" s="66"/>
      <c r="H61" s="245">
        <f>Path!U72</f>
        <v>-1.8428636394673958E-9</v>
      </c>
      <c r="I61" s="185">
        <v>1</v>
      </c>
      <c r="J61" s="186">
        <f t="shared" ref="J61" si="3">F61*E61*D61*I61/10^3</f>
        <v>5.4609989057354689</v>
      </c>
      <c r="K61" s="72"/>
    </row>
    <row r="62" spans="2:11" x14ac:dyDescent="0.2">
      <c r="B62" s="73"/>
      <c r="C62" s="66"/>
      <c r="D62" s="66"/>
      <c r="E62" s="66"/>
      <c r="F62" s="66"/>
      <c r="G62" s="66"/>
      <c r="H62" s="214"/>
      <c r="I62" s="66"/>
      <c r="J62" s="66"/>
      <c r="K62" s="72"/>
    </row>
    <row r="63" spans="2:11" x14ac:dyDescent="0.2">
      <c r="B63" s="73"/>
      <c r="C63" s="66"/>
      <c r="D63" s="66"/>
      <c r="E63" s="66"/>
      <c r="F63" s="66"/>
      <c r="G63" s="66"/>
      <c r="H63" s="66"/>
      <c r="I63" s="66"/>
      <c r="J63" s="66"/>
      <c r="K63" s="72"/>
    </row>
    <row r="64" spans="2:11" x14ac:dyDescent="0.2">
      <c r="B64" s="73"/>
      <c r="C64" s="66"/>
      <c r="D64" s="66"/>
      <c r="E64" s="66"/>
      <c r="F64" s="66"/>
      <c r="G64" s="66"/>
      <c r="H64" s="66"/>
      <c r="I64" s="66"/>
      <c r="J64" s="66"/>
      <c r="K64" s="67"/>
    </row>
    <row r="65" spans="2:18" ht="12" thickBot="1" x14ac:dyDescent="0.25">
      <c r="B65" s="74"/>
      <c r="C65" s="75"/>
      <c r="D65" s="76"/>
      <c r="E65" s="77"/>
      <c r="F65" s="75"/>
      <c r="G65" s="75"/>
      <c r="H65" s="77" t="s">
        <v>45</v>
      </c>
      <c r="I65" s="78">
        <f>SUM(J49:J63)</f>
        <v>107.89602866072747</v>
      </c>
      <c r="J65" s="77" t="s">
        <v>19</v>
      </c>
      <c r="K65" s="79"/>
    </row>
    <row r="74" spans="2:18" x14ac:dyDescent="0.2">
      <c r="B74" s="210" t="s">
        <v>137</v>
      </c>
      <c r="C74" s="211" t="s">
        <v>0</v>
      </c>
      <c r="D74" s="262" t="s">
        <v>166</v>
      </c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4"/>
    </row>
    <row r="75" spans="2:18" x14ac:dyDescent="0.2">
      <c r="I75" s="6"/>
      <c r="J75" s="6"/>
    </row>
    <row r="76" spans="2:18" x14ac:dyDescent="0.2">
      <c r="B76" s="210" t="s">
        <v>138</v>
      </c>
      <c r="C76" s="211" t="s">
        <v>0</v>
      </c>
      <c r="D76" s="265" t="s">
        <v>139</v>
      </c>
      <c r="E76" s="266"/>
      <c r="F76" s="266"/>
      <c r="G76" s="266"/>
      <c r="H76" s="267"/>
      <c r="I76" s="6"/>
      <c r="J76" s="212" t="str">
        <f>CONCATENATE(B76,C76,D76)</f>
        <v>ID=29.00</v>
      </c>
    </row>
    <row r="77" spans="2:18" x14ac:dyDescent="0.2">
      <c r="B77" s="210" t="s">
        <v>140</v>
      </c>
      <c r="C77" s="211" t="s">
        <v>0</v>
      </c>
      <c r="D77" s="265" t="s">
        <v>141</v>
      </c>
      <c r="E77" s="266"/>
      <c r="F77" s="266"/>
      <c r="G77" s="266"/>
      <c r="H77" s="267"/>
      <c r="I77" s="6"/>
      <c r="J77" s="212" t="str">
        <f t="shared" ref="J77:J113" si="4">CONCATENATE(B77,C77,D77)</f>
        <v>Ang=2.0 x PI</v>
      </c>
    </row>
    <row r="78" spans="2:18" x14ac:dyDescent="0.2">
      <c r="B78" s="210" t="s">
        <v>142</v>
      </c>
      <c r="C78" s="211" t="s">
        <v>0</v>
      </c>
      <c r="D78" s="268">
        <v>2.83</v>
      </c>
      <c r="E78" s="269"/>
      <c r="F78" s="269"/>
      <c r="G78" s="269"/>
      <c r="H78" s="270"/>
      <c r="I78" s="6"/>
      <c r="J78" s="212" t="str">
        <f t="shared" si="4"/>
        <v>Eg=2.83</v>
      </c>
    </row>
    <row r="79" spans="2:18" x14ac:dyDescent="0.2">
      <c r="B79" s="210" t="s">
        <v>143</v>
      </c>
      <c r="C79" s="211" t="s">
        <v>0</v>
      </c>
      <c r="D79" s="268">
        <v>0</v>
      </c>
      <c r="E79" s="269"/>
      <c r="F79" s="269"/>
      <c r="G79" s="269"/>
      <c r="H79" s="270"/>
      <c r="J79" s="212" t="str">
        <f t="shared" si="4"/>
        <v>Rg=0</v>
      </c>
    </row>
    <row r="80" spans="2:18" x14ac:dyDescent="0.2">
      <c r="B80" s="210" t="s">
        <v>144</v>
      </c>
      <c r="C80" s="211" t="s">
        <v>0</v>
      </c>
      <c r="D80" s="247">
        <v>0</v>
      </c>
      <c r="E80" s="248"/>
      <c r="F80" s="248"/>
      <c r="G80" s="248"/>
      <c r="H80" s="249"/>
      <c r="J80" s="212" t="str">
        <f t="shared" si="4"/>
        <v>Fta=0</v>
      </c>
    </row>
    <row r="81" spans="2:10" x14ac:dyDescent="0.2">
      <c r="B81" s="210" t="s">
        <v>13</v>
      </c>
      <c r="C81" s="211" t="s">
        <v>0</v>
      </c>
      <c r="D81" s="259">
        <f>ROUND(D21,0)</f>
        <v>254</v>
      </c>
      <c r="E81" s="260"/>
      <c r="F81" s="260"/>
      <c r="G81" s="260"/>
      <c r="H81" s="261"/>
      <c r="J81" s="212" t="str">
        <f t="shared" si="4"/>
        <v>S1=254</v>
      </c>
    </row>
    <row r="82" spans="2:10" x14ac:dyDescent="0.2">
      <c r="B82" s="210" t="s">
        <v>41</v>
      </c>
      <c r="C82" s="211" t="s">
        <v>0</v>
      </c>
      <c r="D82" s="259">
        <f>ROUND(D22,0)</f>
        <v>303</v>
      </c>
      <c r="E82" s="260"/>
      <c r="F82" s="260"/>
      <c r="G82" s="260"/>
      <c r="H82" s="261"/>
      <c r="J82" s="212" t="str">
        <f t="shared" si="4"/>
        <v>S2=303</v>
      </c>
    </row>
    <row r="83" spans="2:10" x14ac:dyDescent="0.2">
      <c r="B83" s="210" t="s">
        <v>145</v>
      </c>
      <c r="C83" s="211" t="s">
        <v>0</v>
      </c>
      <c r="D83" s="253">
        <f>ROUND(D26,1)</f>
        <v>17.899999999999999</v>
      </c>
      <c r="E83" s="254"/>
      <c r="F83" s="254"/>
      <c r="G83" s="254"/>
      <c r="H83" s="255"/>
      <c r="J83" s="212" t="str">
        <f t="shared" si="4"/>
        <v>Par=17.9</v>
      </c>
    </row>
    <row r="84" spans="2:10" x14ac:dyDescent="0.2">
      <c r="B84" s="210" t="s">
        <v>146</v>
      </c>
      <c r="C84" s="211" t="s">
        <v>0</v>
      </c>
      <c r="D84" s="247">
        <v>0</v>
      </c>
      <c r="E84" s="248"/>
      <c r="F84" s="248"/>
      <c r="G84" s="248"/>
      <c r="H84" s="249"/>
      <c r="J84" s="212" t="str">
        <f t="shared" si="4"/>
        <v>F12=0</v>
      </c>
    </row>
    <row r="85" spans="2:10" x14ac:dyDescent="0.2">
      <c r="B85" s="210" t="s">
        <v>41</v>
      </c>
      <c r="C85" s="211" t="s">
        <v>0</v>
      </c>
      <c r="D85" s="259">
        <f>D82</f>
        <v>303</v>
      </c>
      <c r="E85" s="260"/>
      <c r="F85" s="260"/>
      <c r="G85" s="260"/>
      <c r="H85" s="261"/>
      <c r="J85" s="212" t="str">
        <f t="shared" si="4"/>
        <v>S2=303</v>
      </c>
    </row>
    <row r="86" spans="2:10" x14ac:dyDescent="0.2">
      <c r="B86" s="210" t="s">
        <v>53</v>
      </c>
      <c r="C86" s="211" t="s">
        <v>0</v>
      </c>
      <c r="D86" s="259">
        <f>ROUND(D23,0)</f>
        <v>1084</v>
      </c>
      <c r="E86" s="260"/>
      <c r="F86" s="260"/>
      <c r="G86" s="260"/>
      <c r="H86" s="261"/>
      <c r="J86" s="212" t="str">
        <f t="shared" si="4"/>
        <v>S3=1084</v>
      </c>
    </row>
    <row r="87" spans="2:10" x14ac:dyDescent="0.2">
      <c r="B87" s="236" t="str">
        <f>D40</f>
        <v>Par</v>
      </c>
      <c r="C87" s="211" t="s">
        <v>0</v>
      </c>
      <c r="D87" s="253">
        <f>ROUND(D27,1)</f>
        <v>287.39999999999998</v>
      </c>
      <c r="E87" s="254"/>
      <c r="F87" s="254"/>
      <c r="G87" s="254"/>
      <c r="H87" s="255"/>
      <c r="J87" s="212" t="str">
        <f t="shared" si="4"/>
        <v>Par=287.4</v>
      </c>
    </row>
    <row r="88" spans="2:10" x14ac:dyDescent="0.2">
      <c r="B88" s="210" t="s">
        <v>147</v>
      </c>
      <c r="C88" s="211" t="s">
        <v>0</v>
      </c>
      <c r="D88" s="247">
        <v>0</v>
      </c>
      <c r="E88" s="248"/>
      <c r="F88" s="248"/>
      <c r="G88" s="248"/>
      <c r="H88" s="249"/>
      <c r="J88" s="212" t="str">
        <f t="shared" si="4"/>
        <v>F23=0</v>
      </c>
    </row>
    <row r="89" spans="2:10" x14ac:dyDescent="0.2">
      <c r="B89" s="210" t="s">
        <v>53</v>
      </c>
      <c r="C89" s="211" t="s">
        <v>0</v>
      </c>
      <c r="D89" s="259">
        <f>D86</f>
        <v>1084</v>
      </c>
      <c r="E89" s="260"/>
      <c r="F89" s="260"/>
      <c r="G89" s="260"/>
      <c r="H89" s="261"/>
      <c r="J89" s="212" t="str">
        <f t="shared" si="4"/>
        <v>S3=1084</v>
      </c>
    </row>
    <row r="90" spans="2:10" x14ac:dyDescent="0.2">
      <c r="B90" s="210" t="s">
        <v>14</v>
      </c>
      <c r="C90" s="211" t="s">
        <v>0</v>
      </c>
      <c r="D90" s="259">
        <f>ROUND(D24,0)</f>
        <v>1681</v>
      </c>
      <c r="E90" s="260"/>
      <c r="F90" s="260"/>
      <c r="G90" s="260"/>
      <c r="H90" s="261"/>
      <c r="J90" s="212" t="str">
        <f t="shared" si="4"/>
        <v>S4=1681</v>
      </c>
    </row>
    <row r="91" spans="2:10" x14ac:dyDescent="0.2">
      <c r="B91" s="210" t="s">
        <v>145</v>
      </c>
      <c r="C91" s="211" t="s">
        <v>0</v>
      </c>
      <c r="D91" s="253">
        <f>ROUND(D28,1)</f>
        <v>128.69999999999999</v>
      </c>
      <c r="E91" s="254"/>
      <c r="F91" s="254"/>
      <c r="G91" s="254"/>
      <c r="H91" s="255"/>
      <c r="J91" s="212" t="str">
        <f t="shared" si="4"/>
        <v>Par=128.7</v>
      </c>
    </row>
    <row r="92" spans="2:10" x14ac:dyDescent="0.2">
      <c r="B92" s="210" t="s">
        <v>148</v>
      </c>
      <c r="C92" s="211" t="s">
        <v>0</v>
      </c>
      <c r="D92" s="247">
        <v>0</v>
      </c>
      <c r="E92" s="248"/>
      <c r="F92" s="248"/>
      <c r="G92" s="248"/>
      <c r="H92" s="249"/>
      <c r="J92" s="212" t="str">
        <f t="shared" si="4"/>
        <v>F34=0</v>
      </c>
    </row>
    <row r="93" spans="2:10" x14ac:dyDescent="0.2">
      <c r="B93" s="210" t="s">
        <v>14</v>
      </c>
      <c r="C93" s="211" t="s">
        <v>0</v>
      </c>
      <c r="D93" s="259">
        <f>D90</f>
        <v>1681</v>
      </c>
      <c r="E93" s="260"/>
      <c r="F93" s="260"/>
      <c r="G93" s="260"/>
      <c r="H93" s="261"/>
      <c r="J93" s="212" t="str">
        <f t="shared" si="4"/>
        <v>S4=1681</v>
      </c>
    </row>
    <row r="94" spans="2:10" x14ac:dyDescent="0.2">
      <c r="B94" s="210" t="s">
        <v>54</v>
      </c>
      <c r="C94" s="211" t="s">
        <v>0</v>
      </c>
      <c r="D94" s="259">
        <f>ROUND(D25,0)</f>
        <v>1815</v>
      </c>
      <c r="E94" s="260"/>
      <c r="F94" s="260"/>
      <c r="G94" s="260"/>
      <c r="H94" s="261"/>
      <c r="J94" s="212" t="str">
        <f t="shared" si="4"/>
        <v>S5=1815</v>
      </c>
    </row>
    <row r="95" spans="2:10" x14ac:dyDescent="0.2">
      <c r="B95" s="210" t="s">
        <v>145</v>
      </c>
      <c r="C95" s="211" t="s">
        <v>0</v>
      </c>
      <c r="D95" s="253">
        <f>ROUND(D29,1)</f>
        <v>28.7</v>
      </c>
      <c r="E95" s="254"/>
      <c r="F95" s="254"/>
      <c r="G95" s="254"/>
      <c r="H95" s="255"/>
      <c r="J95" s="212" t="str">
        <f t="shared" si="4"/>
        <v>Par=28.7</v>
      </c>
    </row>
    <row r="96" spans="2:10" x14ac:dyDescent="0.2">
      <c r="B96" s="210" t="s">
        <v>149</v>
      </c>
      <c r="C96" s="211" t="s">
        <v>0</v>
      </c>
      <c r="D96" s="247">
        <v>0</v>
      </c>
      <c r="E96" s="248"/>
      <c r="F96" s="248"/>
      <c r="G96" s="248"/>
      <c r="H96" s="249"/>
      <c r="J96" s="212" t="str">
        <f t="shared" si="4"/>
        <v>F45=0</v>
      </c>
    </row>
    <row r="97" spans="2:10" x14ac:dyDescent="0.2">
      <c r="B97" s="210" t="s">
        <v>150</v>
      </c>
      <c r="C97" s="211" t="s">
        <v>0</v>
      </c>
      <c r="D97" s="250">
        <v>823.72</v>
      </c>
      <c r="E97" s="251"/>
      <c r="F97" s="251"/>
      <c r="G97" s="251"/>
      <c r="H97" s="252"/>
      <c r="J97" s="212" t="str">
        <f t="shared" si="4"/>
        <v>Sd=823.72</v>
      </c>
    </row>
    <row r="98" spans="2:10" x14ac:dyDescent="0.2">
      <c r="B98" s="210" t="s">
        <v>151</v>
      </c>
      <c r="C98" s="211" t="s">
        <v>0</v>
      </c>
      <c r="D98" s="250">
        <v>30.65</v>
      </c>
      <c r="E98" s="251"/>
      <c r="F98" s="251"/>
      <c r="G98" s="251"/>
      <c r="H98" s="252"/>
      <c r="J98" s="212" t="str">
        <f t="shared" si="4"/>
        <v>Bl=30.65</v>
      </c>
    </row>
    <row r="99" spans="2:10" x14ac:dyDescent="0.2">
      <c r="B99" s="210" t="s">
        <v>152</v>
      </c>
      <c r="C99" s="211" t="s">
        <v>0</v>
      </c>
      <c r="D99" s="256">
        <v>1.7899999999999999E-4</v>
      </c>
      <c r="E99" s="257"/>
      <c r="F99" s="257"/>
      <c r="G99" s="257"/>
      <c r="H99" s="258"/>
      <c r="J99" s="212" t="str">
        <f t="shared" si="4"/>
        <v>Cms=0.000179</v>
      </c>
    </row>
    <row r="100" spans="2:10" x14ac:dyDescent="0.2">
      <c r="B100" s="210" t="s">
        <v>153</v>
      </c>
      <c r="C100" s="211" t="s">
        <v>0</v>
      </c>
      <c r="D100" s="250">
        <v>3.91</v>
      </c>
      <c r="E100" s="251"/>
      <c r="F100" s="251"/>
      <c r="G100" s="251"/>
      <c r="H100" s="252"/>
      <c r="J100" s="212" t="str">
        <f t="shared" si="4"/>
        <v>Rms=3.91</v>
      </c>
    </row>
    <row r="101" spans="2:10" x14ac:dyDescent="0.2">
      <c r="B101" s="210" t="s">
        <v>154</v>
      </c>
      <c r="C101" s="211" t="s">
        <v>0</v>
      </c>
      <c r="D101" s="250">
        <v>237.25</v>
      </c>
      <c r="E101" s="251"/>
      <c r="F101" s="251"/>
      <c r="G101" s="251"/>
      <c r="H101" s="252"/>
      <c r="J101" s="212" t="str">
        <f t="shared" si="4"/>
        <v>Mmd=237.25</v>
      </c>
    </row>
    <row r="102" spans="2:10" x14ac:dyDescent="0.2">
      <c r="B102" s="210" t="s">
        <v>155</v>
      </c>
      <c r="C102" s="211" t="s">
        <v>0</v>
      </c>
      <c r="D102" s="250">
        <v>8.67</v>
      </c>
      <c r="E102" s="251"/>
      <c r="F102" s="251"/>
      <c r="G102" s="251"/>
      <c r="H102" s="252"/>
      <c r="J102" s="212" t="str">
        <f t="shared" si="4"/>
        <v>Le=8.67</v>
      </c>
    </row>
    <row r="103" spans="2:10" x14ac:dyDescent="0.2">
      <c r="B103" s="210" t="s">
        <v>156</v>
      </c>
      <c r="C103" s="211" t="s">
        <v>0</v>
      </c>
      <c r="D103" s="250">
        <v>7.35</v>
      </c>
      <c r="E103" s="251"/>
      <c r="F103" s="251"/>
      <c r="G103" s="251"/>
      <c r="H103" s="252"/>
      <c r="J103" s="212" t="str">
        <f t="shared" si="4"/>
        <v>Re=7.35</v>
      </c>
    </row>
    <row r="104" spans="2:10" x14ac:dyDescent="0.2">
      <c r="B104" s="210" t="s">
        <v>157</v>
      </c>
      <c r="C104" s="211" t="s">
        <v>0</v>
      </c>
      <c r="D104" s="247">
        <v>1</v>
      </c>
      <c r="E104" s="248"/>
      <c r="F104" s="248"/>
      <c r="G104" s="248"/>
      <c r="H104" s="249"/>
      <c r="J104" s="212" t="str">
        <f t="shared" si="4"/>
        <v>TH=1</v>
      </c>
    </row>
    <row r="105" spans="2:10" x14ac:dyDescent="0.2">
      <c r="B105" s="210" t="s">
        <v>158</v>
      </c>
      <c r="C105" s="211" t="s">
        <v>0</v>
      </c>
      <c r="D105" s="247">
        <v>0</v>
      </c>
      <c r="E105" s="248"/>
      <c r="F105" s="248"/>
      <c r="G105" s="248"/>
      <c r="H105" s="249"/>
      <c r="J105" s="212" t="str">
        <f t="shared" si="4"/>
        <v>Vrc=0</v>
      </c>
    </row>
    <row r="106" spans="2:10" x14ac:dyDescent="0.2">
      <c r="B106" s="210" t="s">
        <v>159</v>
      </c>
      <c r="C106" s="211" t="s">
        <v>0</v>
      </c>
      <c r="D106" s="247">
        <v>0</v>
      </c>
      <c r="E106" s="248"/>
      <c r="F106" s="248"/>
      <c r="G106" s="248"/>
      <c r="H106" s="249"/>
      <c r="J106" s="212" t="str">
        <f t="shared" si="4"/>
        <v>Lrc=0</v>
      </c>
    </row>
    <row r="107" spans="2:10" x14ac:dyDescent="0.2">
      <c r="B107" s="210" t="s">
        <v>160</v>
      </c>
      <c r="C107" s="211" t="s">
        <v>0</v>
      </c>
      <c r="D107" s="253">
        <v>0</v>
      </c>
      <c r="E107" s="254"/>
      <c r="F107" s="254"/>
      <c r="G107" s="254"/>
      <c r="H107" s="255"/>
      <c r="J107" s="212" t="str">
        <f t="shared" si="4"/>
        <v>Ap1=0</v>
      </c>
    </row>
    <row r="108" spans="2:10" x14ac:dyDescent="0.2">
      <c r="B108" s="210" t="s">
        <v>161</v>
      </c>
      <c r="C108" s="211" t="s">
        <v>0</v>
      </c>
      <c r="D108" s="253">
        <v>0</v>
      </c>
      <c r="E108" s="254"/>
      <c r="F108" s="254"/>
      <c r="G108" s="254"/>
      <c r="H108" s="255"/>
      <c r="J108" s="212" t="str">
        <f t="shared" si="4"/>
        <v>Lp=0</v>
      </c>
    </row>
    <row r="109" spans="2:10" x14ac:dyDescent="0.2">
      <c r="B109" s="210" t="s">
        <v>113</v>
      </c>
      <c r="C109" s="211" t="s">
        <v>0</v>
      </c>
      <c r="D109" s="253">
        <f>D37-D38</f>
        <v>3000</v>
      </c>
      <c r="E109" s="254"/>
      <c r="F109" s="254"/>
      <c r="G109" s="254"/>
      <c r="H109" s="255"/>
      <c r="J109" s="212" t="str">
        <f t="shared" si="4"/>
        <v>Vtc=3000</v>
      </c>
    </row>
    <row r="110" spans="2:10" x14ac:dyDescent="0.2">
      <c r="B110" s="210" t="s">
        <v>114</v>
      </c>
      <c r="C110" s="211" t="s">
        <v>0</v>
      </c>
      <c r="D110" s="247">
        <f>D97</f>
        <v>823.72</v>
      </c>
      <c r="E110" s="248"/>
      <c r="F110" s="248"/>
      <c r="G110" s="248"/>
      <c r="H110" s="249"/>
      <c r="J110" s="212" t="str">
        <f t="shared" si="4"/>
        <v>Atc=823.72</v>
      </c>
    </row>
    <row r="111" spans="2:10" x14ac:dyDescent="0.2">
      <c r="B111" s="210" t="s">
        <v>162</v>
      </c>
      <c r="C111" s="211" t="s">
        <v>0</v>
      </c>
      <c r="D111" s="250">
        <v>100</v>
      </c>
      <c r="E111" s="251"/>
      <c r="F111" s="251"/>
      <c r="G111" s="251"/>
      <c r="H111" s="252"/>
      <c r="J111" s="212" t="str">
        <f t="shared" si="4"/>
        <v>Pmax=100</v>
      </c>
    </row>
    <row r="112" spans="2:10" x14ac:dyDescent="0.2">
      <c r="B112" s="210" t="s">
        <v>163</v>
      </c>
      <c r="C112" s="211" t="s">
        <v>0</v>
      </c>
      <c r="D112" s="250">
        <v>5</v>
      </c>
      <c r="E112" s="251"/>
      <c r="F112" s="251"/>
      <c r="G112" s="251"/>
      <c r="H112" s="252"/>
      <c r="J112" s="212" t="str">
        <f t="shared" si="4"/>
        <v>Xmax=5</v>
      </c>
    </row>
    <row r="113" spans="2:26" x14ac:dyDescent="0.2">
      <c r="B113" s="210" t="s">
        <v>164</v>
      </c>
      <c r="C113" s="211" t="s">
        <v>0</v>
      </c>
      <c r="D113" s="250" t="s">
        <v>184</v>
      </c>
      <c r="E113" s="251"/>
      <c r="F113" s="251"/>
      <c r="G113" s="251"/>
      <c r="H113" s="252"/>
      <c r="J113" s="212" t="str">
        <f t="shared" si="4"/>
        <v>Comment=BOXPLAN-Export (MWTH v0.3)</v>
      </c>
    </row>
    <row r="116" spans="2:26" x14ac:dyDescent="0.2">
      <c r="I116" s="6"/>
      <c r="J116" s="6"/>
    </row>
    <row r="117" spans="2:26" x14ac:dyDescent="0.2">
      <c r="I117" s="6"/>
      <c r="J117" s="6"/>
    </row>
    <row r="118" spans="2:26" x14ac:dyDescent="0.2">
      <c r="I118" s="6"/>
      <c r="J118" s="6"/>
    </row>
    <row r="119" spans="2:26" x14ac:dyDescent="0.2">
      <c r="I119" s="6"/>
      <c r="J119" s="6"/>
    </row>
    <row r="120" spans="2:26" x14ac:dyDescent="0.2">
      <c r="I120" s="6"/>
      <c r="J120" s="6"/>
      <c r="Z120" s="3"/>
    </row>
    <row r="121" spans="2:26" x14ac:dyDescent="0.2">
      <c r="I121" s="6"/>
      <c r="J121" s="6"/>
      <c r="Y121" s="3"/>
    </row>
    <row r="122" spans="2:26" x14ac:dyDescent="0.2">
      <c r="I122" s="6"/>
      <c r="J122" s="6"/>
    </row>
    <row r="123" spans="2:26" x14ac:dyDescent="0.2">
      <c r="I123" s="6"/>
      <c r="J123" s="6"/>
    </row>
    <row r="124" spans="2:26" x14ac:dyDescent="0.2">
      <c r="I124" s="6"/>
      <c r="J124" s="6"/>
    </row>
    <row r="125" spans="2:26" x14ac:dyDescent="0.2">
      <c r="I125" s="6"/>
      <c r="J125" s="6"/>
    </row>
    <row r="231" spans="30:40" x14ac:dyDescent="0.2">
      <c r="AD231" s="3"/>
      <c r="AE231" s="3"/>
      <c r="AF231" s="3"/>
      <c r="AG231" s="3"/>
      <c r="AH231" s="3"/>
      <c r="AJ231" s="3"/>
      <c r="AK231" s="3"/>
      <c r="AM231" s="3"/>
      <c r="AN231" s="3"/>
    </row>
    <row r="232" spans="30:40" x14ac:dyDescent="0.2">
      <c r="AD232" s="3"/>
      <c r="AE232" s="3"/>
      <c r="AF232" s="3"/>
      <c r="AG232" s="3"/>
      <c r="AH232" s="3"/>
      <c r="AJ232" s="3"/>
      <c r="AK232" s="3"/>
      <c r="AM232" s="3"/>
      <c r="AN232" s="3"/>
    </row>
    <row r="233" spans="30:40" x14ac:dyDescent="0.2">
      <c r="AD233" s="3"/>
      <c r="AE233" s="3"/>
      <c r="AF233" s="3"/>
      <c r="AG233" s="3"/>
      <c r="AH233" s="3"/>
      <c r="AJ233" s="3"/>
      <c r="AK233" s="3"/>
    </row>
    <row r="234" spans="30:40" x14ac:dyDescent="0.2">
      <c r="AD234" s="3"/>
      <c r="AE234" s="3"/>
      <c r="AM234" s="3"/>
      <c r="AN234" s="3"/>
    </row>
    <row r="235" spans="30:40" x14ac:dyDescent="0.2">
      <c r="AD235" s="3"/>
      <c r="AE235" s="3"/>
      <c r="AM235" s="3"/>
      <c r="AN235" s="3"/>
    </row>
    <row r="236" spans="30:40" x14ac:dyDescent="0.2">
      <c r="AD236" s="3"/>
      <c r="AE236" s="3"/>
    </row>
    <row r="237" spans="30:40" x14ac:dyDescent="0.2">
      <c r="AD237" s="3"/>
      <c r="AE237" s="3"/>
      <c r="AM237" s="3"/>
      <c r="AN237" s="3"/>
    </row>
    <row r="238" spans="30:40" x14ac:dyDescent="0.2">
      <c r="AD238" s="3"/>
      <c r="AE238" s="3"/>
      <c r="AM238" s="3"/>
      <c r="AN238" s="3"/>
    </row>
    <row r="240" spans="30:40" x14ac:dyDescent="0.2">
      <c r="AD240" s="3"/>
      <c r="AE240" s="3"/>
      <c r="AF240" s="4"/>
      <c r="AG240" s="4"/>
      <c r="AH240" s="4"/>
      <c r="AM240" s="3"/>
      <c r="AN240" s="3"/>
    </row>
    <row r="241" spans="30:40" x14ac:dyDescent="0.2">
      <c r="AD241" s="3"/>
      <c r="AE241" s="3"/>
      <c r="AF241" s="6"/>
      <c r="AG241" s="6"/>
      <c r="AH241" s="6"/>
      <c r="AM241" s="3"/>
      <c r="AN241" s="3"/>
    </row>
    <row r="242" spans="30:40" x14ac:dyDescent="0.2">
      <c r="AD242" s="3"/>
      <c r="AE242" s="3"/>
      <c r="AF242" s="6"/>
      <c r="AG242" s="6"/>
      <c r="AH242" s="6"/>
    </row>
    <row r="243" spans="30:40" x14ac:dyDescent="0.2">
      <c r="AD243" s="3"/>
      <c r="AE243" s="3"/>
      <c r="AF243" s="6"/>
      <c r="AG243" s="6"/>
      <c r="AH243" s="6"/>
      <c r="AM243" s="3"/>
      <c r="AN243" s="3"/>
    </row>
    <row r="244" spans="30:40" x14ac:dyDescent="0.2">
      <c r="AD244" s="3"/>
      <c r="AE244" s="3"/>
      <c r="AF244" s="6"/>
      <c r="AG244" s="6"/>
      <c r="AH244" s="6"/>
      <c r="AM244" s="3"/>
      <c r="AN244" s="3"/>
    </row>
    <row r="246" spans="30:40" x14ac:dyDescent="0.2">
      <c r="AD246" s="3"/>
      <c r="AE246" s="3"/>
      <c r="AF246" s="4"/>
      <c r="AG246" s="4"/>
      <c r="AH246" s="4"/>
      <c r="AM246" s="3"/>
      <c r="AN246" s="3"/>
    </row>
    <row r="247" spans="30:40" x14ac:dyDescent="0.2">
      <c r="AD247" s="3"/>
      <c r="AE247" s="3"/>
      <c r="AF247" s="6"/>
      <c r="AG247" s="6"/>
      <c r="AH247" s="6"/>
      <c r="AM247" s="3"/>
      <c r="AN247" s="3"/>
    </row>
    <row r="248" spans="30:40" x14ac:dyDescent="0.2">
      <c r="AD248" s="3"/>
      <c r="AE248" s="3"/>
      <c r="AF248" s="6"/>
      <c r="AG248" s="6"/>
      <c r="AH248" s="6"/>
    </row>
    <row r="249" spans="30:40" x14ac:dyDescent="0.2">
      <c r="AD249" s="3"/>
      <c r="AE249" s="3"/>
      <c r="AF249" s="6"/>
      <c r="AG249" s="6"/>
      <c r="AH249" s="6"/>
      <c r="AM249" s="3"/>
      <c r="AN249" s="3"/>
    </row>
    <row r="250" spans="30:40" x14ac:dyDescent="0.2">
      <c r="AD250" s="3"/>
      <c r="AE250" s="3"/>
      <c r="AF250" s="6"/>
      <c r="AG250" s="6"/>
      <c r="AH250" s="6"/>
      <c r="AM250" s="3"/>
      <c r="AN250" s="3"/>
    </row>
    <row r="252" spans="30:40" x14ac:dyDescent="0.2">
      <c r="AD252" s="3"/>
      <c r="AE252" s="3"/>
      <c r="AF252" s="4"/>
      <c r="AG252" s="4"/>
      <c r="AH252" s="4"/>
      <c r="AM252" s="3"/>
      <c r="AN252" s="3"/>
    </row>
    <row r="253" spans="30:40" x14ac:dyDescent="0.2">
      <c r="AD253" s="3"/>
      <c r="AE253" s="3"/>
      <c r="AF253" s="6"/>
      <c r="AG253" s="6"/>
      <c r="AH253" s="6"/>
      <c r="AM253" s="3"/>
      <c r="AN253" s="3"/>
    </row>
    <row r="254" spans="30:40" x14ac:dyDescent="0.2">
      <c r="AD254" s="3"/>
      <c r="AE254" s="3"/>
      <c r="AF254" s="6"/>
      <c r="AG254" s="6"/>
      <c r="AH254" s="6"/>
    </row>
    <row r="255" spans="30:40" x14ac:dyDescent="0.2">
      <c r="AD255" s="3"/>
      <c r="AE255" s="3"/>
      <c r="AF255" s="6"/>
      <c r="AG255" s="6"/>
      <c r="AH255" s="6"/>
      <c r="AM255" s="3"/>
      <c r="AN255" s="3"/>
    </row>
    <row r="256" spans="30:40" x14ac:dyDescent="0.2">
      <c r="AD256" s="3"/>
      <c r="AE256" s="3"/>
      <c r="AF256" s="6"/>
      <c r="AG256" s="6"/>
      <c r="AH256" s="6"/>
      <c r="AM256" s="3"/>
      <c r="AN256" s="3"/>
    </row>
    <row r="258" spans="30:44" x14ac:dyDescent="0.2">
      <c r="AD258" s="3"/>
      <c r="AE258" s="3"/>
      <c r="AF258" s="4"/>
      <c r="AG258" s="4"/>
      <c r="AH258" s="4"/>
      <c r="AM258" s="3"/>
      <c r="AN258" s="3"/>
    </row>
    <row r="259" spans="30:44" x14ac:dyDescent="0.2">
      <c r="AD259" s="3"/>
      <c r="AE259" s="3"/>
      <c r="AF259" s="6"/>
      <c r="AG259" s="6"/>
      <c r="AH259" s="6"/>
    </row>
    <row r="260" spans="30:44" x14ac:dyDescent="0.2">
      <c r="AD260" s="3"/>
      <c r="AE260" s="3"/>
      <c r="AF260" s="6"/>
      <c r="AG260" s="6"/>
      <c r="AH260" s="6"/>
      <c r="AM260" s="3"/>
      <c r="AN260" s="3"/>
    </row>
    <row r="261" spans="30:44" x14ac:dyDescent="0.2">
      <c r="AD261" s="3"/>
      <c r="AE261" s="3"/>
      <c r="AF261" s="6"/>
      <c r="AG261" s="6"/>
      <c r="AH261" s="6"/>
      <c r="AM261" s="3"/>
      <c r="AN261" s="3"/>
    </row>
    <row r="263" spans="30:44" x14ac:dyDescent="0.2">
      <c r="AD263" s="3"/>
      <c r="AE263" s="3"/>
      <c r="AF263" s="4"/>
      <c r="AG263" s="4"/>
      <c r="AH263" s="4"/>
      <c r="AM263" s="3"/>
      <c r="AN263" s="3"/>
    </row>
    <row r="264" spans="30:44" x14ac:dyDescent="0.2">
      <c r="AD264" s="3"/>
      <c r="AE264" s="3"/>
      <c r="AF264" s="6"/>
      <c r="AG264" s="6"/>
      <c r="AH264" s="6"/>
      <c r="AM264" s="3"/>
      <c r="AN264" s="3"/>
    </row>
    <row r="265" spans="30:44" x14ac:dyDescent="0.2">
      <c r="AD265" s="3"/>
      <c r="AE265" s="3"/>
      <c r="AF265" s="6"/>
      <c r="AG265" s="6"/>
      <c r="AH265" s="6"/>
    </row>
    <row r="266" spans="30:44" x14ac:dyDescent="0.2">
      <c r="AD266" s="3"/>
      <c r="AE266" s="3"/>
      <c r="AF266" s="6"/>
      <c r="AG266" s="6"/>
      <c r="AH266" s="6"/>
      <c r="AM266" s="3"/>
      <c r="AN266" s="3"/>
    </row>
    <row r="267" spans="30:44" x14ac:dyDescent="0.2">
      <c r="AD267" s="3"/>
      <c r="AE267" s="3"/>
      <c r="AF267" s="6"/>
      <c r="AG267" s="6"/>
      <c r="AH267" s="6"/>
      <c r="AM267" s="3"/>
      <c r="AN267" s="3"/>
    </row>
    <row r="269" spans="30:44" x14ac:dyDescent="0.2">
      <c r="AD269" s="3"/>
      <c r="AE269" s="3"/>
      <c r="AF269" s="4"/>
      <c r="AG269" s="4"/>
      <c r="AH269" s="4"/>
      <c r="AM269" s="3"/>
      <c r="AN269" s="3"/>
    </row>
    <row r="270" spans="30:44" x14ac:dyDescent="0.2">
      <c r="AD270" s="3"/>
      <c r="AE270" s="3"/>
      <c r="AF270" s="4"/>
      <c r="AG270" s="4"/>
      <c r="AH270" s="4"/>
      <c r="AM270" s="7"/>
      <c r="AN270" s="7"/>
      <c r="AO270" s="7"/>
      <c r="AP270" s="7"/>
      <c r="AQ270" s="7"/>
    </row>
    <row r="271" spans="30:44" x14ac:dyDescent="0.2">
      <c r="AD271" s="3"/>
      <c r="AE271" s="3"/>
      <c r="AF271" s="6"/>
      <c r="AG271" s="6"/>
      <c r="AH271" s="6"/>
      <c r="AM271" s="3"/>
      <c r="AN271" s="3"/>
      <c r="AO271" s="7"/>
      <c r="AP271" s="7"/>
      <c r="AQ271" s="7"/>
      <c r="AR271" s="6"/>
    </row>
    <row r="272" spans="30:44" x14ac:dyDescent="0.2">
      <c r="AD272" s="3"/>
      <c r="AE272" s="3"/>
      <c r="AF272" s="6"/>
      <c r="AG272" s="6"/>
      <c r="AH272" s="6"/>
      <c r="AM272" s="7"/>
      <c r="AN272" s="7"/>
      <c r="AO272" s="7"/>
      <c r="AP272" s="7"/>
      <c r="AQ272" s="7"/>
      <c r="AR272" s="6"/>
    </row>
    <row r="273" spans="30:44" x14ac:dyDescent="0.2">
      <c r="AD273" s="3"/>
      <c r="AE273" s="3"/>
      <c r="AF273" s="6"/>
      <c r="AG273" s="6"/>
      <c r="AH273" s="6"/>
      <c r="AM273" s="7"/>
      <c r="AN273" s="7"/>
      <c r="AO273" s="7"/>
      <c r="AP273" s="7"/>
      <c r="AQ273" s="7"/>
      <c r="AR273" s="6"/>
    </row>
    <row r="274" spans="30:44" x14ac:dyDescent="0.2">
      <c r="AD274" s="3"/>
      <c r="AE274" s="3"/>
      <c r="AF274" s="6"/>
      <c r="AG274" s="6"/>
      <c r="AH274" s="6"/>
      <c r="AM274" s="7"/>
      <c r="AN274" s="7"/>
      <c r="AO274" s="7"/>
      <c r="AP274" s="7"/>
      <c r="AQ274" s="7"/>
      <c r="AR274" s="6"/>
    </row>
    <row r="275" spans="30:44" x14ac:dyDescent="0.2">
      <c r="AM275" s="3"/>
      <c r="AN275" s="3"/>
      <c r="AO275" s="7"/>
      <c r="AP275" s="7"/>
      <c r="AQ275" s="7"/>
      <c r="AR275" s="6"/>
    </row>
    <row r="276" spans="30:44" x14ac:dyDescent="0.2">
      <c r="AD276" s="3"/>
      <c r="AE276" s="3"/>
      <c r="AF276" s="4"/>
      <c r="AG276" s="4"/>
      <c r="AH276" s="4"/>
      <c r="AM276" s="3"/>
      <c r="AN276" s="3"/>
      <c r="AO276" s="7"/>
      <c r="AP276" s="7"/>
      <c r="AQ276" s="7"/>
      <c r="AR276" s="6"/>
    </row>
    <row r="277" spans="30:44" x14ac:dyDescent="0.2">
      <c r="AD277" s="3"/>
      <c r="AE277" s="3"/>
      <c r="AF277" s="6"/>
      <c r="AG277" s="6"/>
      <c r="AH277" s="6"/>
      <c r="AM277" s="3"/>
      <c r="AN277" s="3"/>
      <c r="AO277" s="7"/>
      <c r="AP277" s="7"/>
      <c r="AQ277" s="7"/>
      <c r="AR277" s="6"/>
    </row>
    <row r="278" spans="30:44" x14ac:dyDescent="0.2">
      <c r="AD278" s="3"/>
      <c r="AE278" s="3"/>
      <c r="AF278" s="6"/>
      <c r="AG278" s="6"/>
      <c r="AH278" s="6"/>
      <c r="AM278" s="3"/>
      <c r="AN278" s="3"/>
      <c r="AO278" s="7"/>
      <c r="AP278" s="7"/>
      <c r="AQ278" s="7"/>
      <c r="AR278" s="6"/>
    </row>
    <row r="279" spans="30:44" x14ac:dyDescent="0.2">
      <c r="AD279" s="3"/>
      <c r="AE279" s="3"/>
      <c r="AF279" s="6"/>
      <c r="AG279" s="6"/>
      <c r="AH279" s="6"/>
      <c r="AM279" s="3"/>
      <c r="AN279" s="3"/>
      <c r="AO279" s="7"/>
      <c r="AP279" s="7"/>
      <c r="AQ279" s="7"/>
      <c r="AR279" s="6"/>
    </row>
    <row r="280" spans="30:44" x14ac:dyDescent="0.2">
      <c r="AD280" s="3"/>
      <c r="AE280" s="3"/>
      <c r="AF280" s="6"/>
      <c r="AG280" s="6"/>
      <c r="AH280" s="6"/>
      <c r="AM280" s="3"/>
      <c r="AN280" s="3"/>
      <c r="AO280" s="7"/>
      <c r="AP280" s="7"/>
      <c r="AQ280" s="7"/>
      <c r="AR280" s="6"/>
    </row>
    <row r="281" spans="30:44" x14ac:dyDescent="0.2">
      <c r="AM281" s="3"/>
      <c r="AN281" s="3"/>
      <c r="AO281" s="7"/>
      <c r="AP281" s="7"/>
      <c r="AQ281" s="7"/>
      <c r="AR281" s="6"/>
    </row>
    <row r="282" spans="30:44" x14ac:dyDescent="0.2">
      <c r="AD282" s="3"/>
      <c r="AE282" s="3"/>
      <c r="AF282" s="4"/>
      <c r="AG282" s="4"/>
      <c r="AH282" s="4"/>
      <c r="AM282" s="3"/>
      <c r="AN282" s="3"/>
      <c r="AO282" s="7"/>
      <c r="AP282" s="7"/>
      <c r="AQ282" s="7"/>
      <c r="AR282" s="6"/>
    </row>
    <row r="283" spans="30:44" x14ac:dyDescent="0.2">
      <c r="AD283" s="3"/>
      <c r="AE283" s="3"/>
      <c r="AF283" s="6"/>
      <c r="AG283" s="6"/>
      <c r="AH283" s="6"/>
      <c r="AM283" s="3"/>
      <c r="AN283" s="3"/>
      <c r="AO283" s="7"/>
      <c r="AP283" s="7"/>
      <c r="AQ283" s="7"/>
      <c r="AR283" s="6"/>
    </row>
    <row r="284" spans="30:44" x14ac:dyDescent="0.2">
      <c r="AD284" s="3"/>
      <c r="AE284" s="3"/>
      <c r="AF284" s="6"/>
      <c r="AG284" s="6"/>
      <c r="AH284" s="6"/>
      <c r="AM284" s="3"/>
      <c r="AN284" s="3"/>
      <c r="AO284" s="7"/>
      <c r="AP284" s="7"/>
      <c r="AQ284" s="7"/>
      <c r="AR284" s="6"/>
    </row>
    <row r="285" spans="30:44" x14ac:dyDescent="0.2">
      <c r="AD285" s="3"/>
      <c r="AE285" s="3"/>
      <c r="AF285" s="6"/>
      <c r="AG285" s="6"/>
      <c r="AH285" s="6"/>
      <c r="AM285" s="3"/>
      <c r="AN285" s="3"/>
      <c r="AO285" s="7"/>
      <c r="AP285" s="7"/>
      <c r="AQ285" s="7"/>
      <c r="AR285" s="6"/>
    </row>
    <row r="286" spans="30:44" x14ac:dyDescent="0.2">
      <c r="AD286" s="3"/>
      <c r="AE286" s="3"/>
      <c r="AF286" s="6"/>
      <c r="AG286" s="6"/>
      <c r="AH286" s="6"/>
      <c r="AM286" s="3"/>
      <c r="AN286" s="3"/>
      <c r="AO286" s="7"/>
      <c r="AP286" s="7"/>
      <c r="AQ286" s="7"/>
      <c r="AR286" s="6"/>
    </row>
    <row r="287" spans="30:44" x14ac:dyDescent="0.2">
      <c r="AM287" s="3"/>
      <c r="AN287" s="3"/>
      <c r="AO287" s="7"/>
      <c r="AP287" s="7"/>
      <c r="AQ287" s="7"/>
      <c r="AR287" s="6"/>
    </row>
    <row r="288" spans="30:44" x14ac:dyDescent="0.2">
      <c r="AD288" s="3"/>
      <c r="AE288" s="3"/>
      <c r="AF288" s="4"/>
      <c r="AG288" s="4"/>
      <c r="AH288" s="4"/>
      <c r="AM288" s="3"/>
      <c r="AN288" s="3"/>
      <c r="AO288" s="7"/>
      <c r="AP288" s="7"/>
      <c r="AQ288" s="7"/>
      <c r="AR288" s="6"/>
    </row>
    <row r="289" spans="30:44" x14ac:dyDescent="0.2">
      <c r="AD289" s="3"/>
      <c r="AE289" s="3"/>
      <c r="AF289" s="6"/>
      <c r="AG289" s="6"/>
      <c r="AH289" s="6"/>
      <c r="AM289" s="3"/>
      <c r="AN289" s="3"/>
      <c r="AO289" s="7"/>
      <c r="AP289" s="7"/>
      <c r="AQ289" s="7"/>
      <c r="AR289" s="6"/>
    </row>
    <row r="290" spans="30:44" x14ac:dyDescent="0.2">
      <c r="AD290" s="3"/>
      <c r="AE290" s="3"/>
      <c r="AF290" s="6"/>
      <c r="AG290" s="6"/>
      <c r="AH290" s="6"/>
      <c r="AM290" s="3"/>
      <c r="AN290" s="3"/>
      <c r="AO290" s="7"/>
      <c r="AP290" s="7"/>
      <c r="AQ290" s="7"/>
      <c r="AR290" s="6"/>
    </row>
    <row r="291" spans="30:44" x14ac:dyDescent="0.2">
      <c r="AD291" s="3"/>
      <c r="AE291" s="3"/>
      <c r="AF291" s="6"/>
      <c r="AG291" s="6"/>
      <c r="AH291" s="6"/>
      <c r="AM291" s="3"/>
      <c r="AN291" s="3"/>
      <c r="AO291" s="7"/>
      <c r="AP291" s="7"/>
      <c r="AQ291" s="7"/>
      <c r="AR291" s="6"/>
    </row>
    <row r="292" spans="30:44" x14ac:dyDescent="0.2">
      <c r="AD292" s="3"/>
      <c r="AE292" s="3"/>
      <c r="AF292" s="6"/>
      <c r="AG292" s="6"/>
      <c r="AH292" s="6"/>
      <c r="AM292" s="3"/>
      <c r="AN292" s="3"/>
      <c r="AO292" s="7"/>
      <c r="AP292" s="7"/>
      <c r="AQ292" s="7"/>
      <c r="AR292" s="6"/>
    </row>
    <row r="293" spans="30:44" x14ac:dyDescent="0.2">
      <c r="AM293" s="3"/>
      <c r="AN293" s="3"/>
      <c r="AO293" s="7"/>
      <c r="AP293" s="7"/>
      <c r="AQ293" s="7"/>
      <c r="AR293" s="6"/>
    </row>
    <row r="294" spans="30:44" x14ac:dyDescent="0.2">
      <c r="AD294" s="3"/>
      <c r="AE294" s="3"/>
      <c r="AF294" s="4"/>
      <c r="AG294" s="4"/>
      <c r="AH294" s="4"/>
      <c r="AM294" s="3"/>
      <c r="AN294" s="3"/>
      <c r="AO294" s="7"/>
      <c r="AP294" s="7"/>
      <c r="AQ294" s="7"/>
      <c r="AR294" s="6"/>
    </row>
    <row r="295" spans="30:44" x14ac:dyDescent="0.2">
      <c r="AD295" s="3"/>
      <c r="AE295" s="3"/>
      <c r="AF295" s="6"/>
      <c r="AG295" s="6"/>
      <c r="AH295" s="6"/>
      <c r="AM295" s="3"/>
      <c r="AN295" s="3"/>
      <c r="AO295" s="7"/>
      <c r="AP295" s="7"/>
      <c r="AQ295" s="7"/>
      <c r="AR295" s="6"/>
    </row>
    <row r="296" spans="30:44" x14ac:dyDescent="0.2">
      <c r="AD296" s="3"/>
      <c r="AE296" s="3"/>
      <c r="AF296" s="6"/>
      <c r="AG296" s="6"/>
      <c r="AH296" s="6"/>
      <c r="AM296" s="3"/>
      <c r="AN296" s="3"/>
      <c r="AO296" s="7"/>
      <c r="AP296" s="7"/>
      <c r="AQ296" s="7"/>
      <c r="AR296" s="6"/>
    </row>
    <row r="297" spans="30:44" x14ac:dyDescent="0.2">
      <c r="AD297" s="3"/>
      <c r="AE297" s="3"/>
      <c r="AF297" s="6"/>
      <c r="AG297" s="6"/>
      <c r="AH297" s="6"/>
    </row>
    <row r="298" spans="30:44" x14ac:dyDescent="0.2">
      <c r="AD298" s="3"/>
      <c r="AE298" s="3"/>
      <c r="AF298" s="6"/>
      <c r="AG298" s="6"/>
      <c r="AH298" s="6"/>
      <c r="AQ298" s="5"/>
    </row>
    <row r="300" spans="30:44" x14ac:dyDescent="0.2">
      <c r="AD300" s="3"/>
      <c r="AE300" s="3"/>
      <c r="AF300" s="4"/>
      <c r="AG300" s="4"/>
      <c r="AH300" s="4"/>
    </row>
    <row r="301" spans="30:44" x14ac:dyDescent="0.2">
      <c r="AD301" s="3"/>
      <c r="AE301" s="3"/>
      <c r="AF301" s="6"/>
      <c r="AG301" s="6"/>
      <c r="AH301" s="6"/>
    </row>
    <row r="302" spans="30:44" x14ac:dyDescent="0.2">
      <c r="AD302" s="3"/>
      <c r="AE302" s="3"/>
      <c r="AF302" s="6"/>
      <c r="AG302" s="6"/>
      <c r="AH302" s="6"/>
    </row>
    <row r="303" spans="30:44" x14ac:dyDescent="0.2">
      <c r="AD303" s="3"/>
      <c r="AE303" s="3"/>
      <c r="AF303" s="6"/>
      <c r="AG303" s="6"/>
      <c r="AH303" s="6"/>
    </row>
    <row r="304" spans="30:44" x14ac:dyDescent="0.2">
      <c r="AD304" s="3"/>
      <c r="AE304" s="3"/>
      <c r="AF304" s="6"/>
      <c r="AG304" s="6"/>
      <c r="AH304" s="6"/>
    </row>
    <row r="306" spans="30:34" x14ac:dyDescent="0.2">
      <c r="AD306" s="3"/>
      <c r="AE306" s="3"/>
      <c r="AF306" s="4"/>
      <c r="AG306" s="4"/>
      <c r="AH306" s="4"/>
    </row>
    <row r="307" spans="30:34" x14ac:dyDescent="0.2">
      <c r="AD307" s="3"/>
      <c r="AE307" s="3"/>
      <c r="AF307" s="6"/>
      <c r="AG307" s="6"/>
      <c r="AH307" s="6"/>
    </row>
    <row r="308" spans="30:34" x14ac:dyDescent="0.2">
      <c r="AD308" s="3"/>
      <c r="AE308" s="3"/>
      <c r="AF308" s="6"/>
      <c r="AG308" s="6"/>
      <c r="AH308" s="6"/>
    </row>
    <row r="309" spans="30:34" x14ac:dyDescent="0.2">
      <c r="AD309" s="3"/>
      <c r="AE309" s="3"/>
      <c r="AF309" s="6"/>
      <c r="AG309" s="6"/>
      <c r="AH309" s="6"/>
    </row>
    <row r="310" spans="30:34" x14ac:dyDescent="0.2">
      <c r="AD310" s="3"/>
      <c r="AE310" s="3"/>
      <c r="AF310" s="6"/>
      <c r="AG310" s="6"/>
      <c r="AH310" s="6"/>
    </row>
    <row r="312" spans="30:34" x14ac:dyDescent="0.2">
      <c r="AD312" s="3"/>
      <c r="AE312" s="3"/>
      <c r="AF312" s="4"/>
      <c r="AG312" s="4"/>
      <c r="AH312" s="4"/>
    </row>
    <row r="313" spans="30:34" x14ac:dyDescent="0.2">
      <c r="AD313" s="3"/>
      <c r="AE313" s="3"/>
      <c r="AF313" s="6"/>
      <c r="AG313" s="6"/>
      <c r="AH313" s="6"/>
    </row>
    <row r="314" spans="30:34" x14ac:dyDescent="0.2">
      <c r="AD314" s="3"/>
      <c r="AE314" s="3"/>
      <c r="AF314" s="6"/>
      <c r="AG314" s="6"/>
      <c r="AH314" s="6"/>
    </row>
    <row r="315" spans="30:34" x14ac:dyDescent="0.2">
      <c r="AD315" s="3"/>
      <c r="AE315" s="3"/>
      <c r="AF315" s="6"/>
      <c r="AG315" s="6"/>
      <c r="AH315" s="6"/>
    </row>
    <row r="316" spans="30:34" x14ac:dyDescent="0.2">
      <c r="AD316" s="3"/>
      <c r="AE316" s="3"/>
      <c r="AF316" s="6"/>
      <c r="AG316" s="6"/>
      <c r="AH316" s="6"/>
    </row>
    <row r="318" spans="30:34" x14ac:dyDescent="0.2">
      <c r="AD318" s="3"/>
      <c r="AE318" s="3"/>
      <c r="AF318" s="4"/>
      <c r="AG318" s="4"/>
      <c r="AH318" s="4"/>
    </row>
    <row r="319" spans="30:34" x14ac:dyDescent="0.2">
      <c r="AD319" s="3"/>
      <c r="AE319" s="3"/>
      <c r="AF319" s="6"/>
      <c r="AG319" s="6"/>
      <c r="AH319" s="6"/>
    </row>
    <row r="320" spans="30:34" x14ac:dyDescent="0.2">
      <c r="AD320" s="3"/>
      <c r="AE320" s="3"/>
      <c r="AF320" s="6"/>
      <c r="AG320" s="6"/>
      <c r="AH320" s="6"/>
    </row>
    <row r="321" spans="30:34" x14ac:dyDescent="0.2">
      <c r="AD321" s="3"/>
      <c r="AE321" s="3"/>
      <c r="AF321" s="6"/>
      <c r="AG321" s="6"/>
      <c r="AH321" s="6"/>
    </row>
    <row r="322" spans="30:34" x14ac:dyDescent="0.2">
      <c r="AD322" s="3"/>
      <c r="AE322" s="3"/>
      <c r="AF322" s="6"/>
      <c r="AG322" s="6"/>
      <c r="AH322" s="6"/>
    </row>
    <row r="324" spans="30:34" x14ac:dyDescent="0.2">
      <c r="AD324" s="3"/>
      <c r="AE324" s="3"/>
      <c r="AF324" s="4"/>
      <c r="AG324" s="4"/>
      <c r="AH324" s="4"/>
    </row>
    <row r="325" spans="30:34" x14ac:dyDescent="0.2">
      <c r="AD325" s="3"/>
      <c r="AE325" s="3"/>
      <c r="AF325" s="6"/>
      <c r="AG325" s="6"/>
      <c r="AH325" s="6"/>
    </row>
    <row r="326" spans="30:34" x14ac:dyDescent="0.2">
      <c r="AD326" s="3"/>
      <c r="AE326" s="3"/>
      <c r="AF326" s="6"/>
      <c r="AG326" s="6"/>
      <c r="AH326" s="6"/>
    </row>
    <row r="327" spans="30:34" x14ac:dyDescent="0.2">
      <c r="AD327" s="3"/>
      <c r="AE327" s="3"/>
      <c r="AF327" s="6"/>
      <c r="AG327" s="6"/>
      <c r="AH327" s="6"/>
    </row>
    <row r="328" spans="30:34" x14ac:dyDescent="0.2">
      <c r="AD328" s="3"/>
      <c r="AE328" s="3"/>
      <c r="AF328" s="6"/>
      <c r="AG328" s="6"/>
      <c r="AH328" s="6"/>
    </row>
    <row r="330" spans="30:34" x14ac:dyDescent="0.2">
      <c r="AD330" s="3"/>
      <c r="AE330" s="3"/>
      <c r="AF330" s="4"/>
      <c r="AG330" s="4"/>
      <c r="AH330" s="4"/>
    </row>
    <row r="331" spans="30:34" x14ac:dyDescent="0.2">
      <c r="AD331" s="3"/>
      <c r="AE331" s="3"/>
      <c r="AF331" s="6"/>
      <c r="AG331" s="6"/>
      <c r="AH331" s="6"/>
    </row>
    <row r="332" spans="30:34" x14ac:dyDescent="0.2">
      <c r="AD332" s="3"/>
      <c r="AE332" s="3"/>
      <c r="AF332" s="6"/>
      <c r="AG332" s="6"/>
      <c r="AH332" s="6"/>
    </row>
    <row r="333" spans="30:34" x14ac:dyDescent="0.2">
      <c r="AD333" s="3"/>
      <c r="AE333" s="3"/>
      <c r="AF333" s="6"/>
      <c r="AG333" s="6"/>
      <c r="AH333" s="6"/>
    </row>
    <row r="334" spans="30:34" x14ac:dyDescent="0.2">
      <c r="AD334" s="3"/>
      <c r="AE334" s="3"/>
      <c r="AF334" s="6"/>
      <c r="AG334" s="6"/>
      <c r="AH334" s="6"/>
    </row>
    <row r="335" spans="30:34" x14ac:dyDescent="0.2">
      <c r="AD335" s="3"/>
      <c r="AE335" s="3"/>
      <c r="AF335" s="6"/>
      <c r="AG335" s="6"/>
      <c r="AH335" s="6"/>
    </row>
  </sheetData>
  <sheetProtection sheet="1" objects="1" scenarios="1"/>
  <protectedRanges>
    <protectedRange sqref="K49:K63" name="Range5"/>
    <protectedRange sqref="H18:H22 H5:H15" name="Range4"/>
    <protectedRange sqref="D4:D8" name="Range1"/>
    <protectedRange sqref="D11:D15 D45:D46 D26:D29 D17:D18" name="Range2"/>
  </protectedRanges>
  <mergeCells count="45">
    <mergeCell ref="I9:K9"/>
    <mergeCell ref="I5:K5"/>
    <mergeCell ref="I10:K10"/>
    <mergeCell ref="I6:K6"/>
    <mergeCell ref="I7:K7"/>
    <mergeCell ref="I8:K8"/>
    <mergeCell ref="D74:R74"/>
    <mergeCell ref="D76:H76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D90:H90"/>
    <mergeCell ref="D91:H91"/>
    <mergeCell ref="D92:H92"/>
    <mergeCell ref="D93:H93"/>
    <mergeCell ref="D94:H94"/>
    <mergeCell ref="D95:H95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10:H110"/>
    <mergeCell ref="D111:H111"/>
    <mergeCell ref="D112:H112"/>
    <mergeCell ref="D113:H113"/>
    <mergeCell ref="D105:H105"/>
    <mergeCell ref="D106:H106"/>
    <mergeCell ref="D107:H107"/>
    <mergeCell ref="D108:H108"/>
    <mergeCell ref="D109:H109"/>
  </mergeCells>
  <phoneticPr fontId="1" type="noConversion"/>
  <pageMargins left="0.75" right="0.75" top="1" bottom="1" header="0.5" footer="0.5"/>
  <pageSetup scale="73" orientation="landscape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Optimize">
                <anchor moveWithCells="1">
                  <from>
                    <xdr:col>7</xdr:col>
                    <xdr:colOff>0</xdr:colOff>
                    <xdr:row>23</xdr:row>
                    <xdr:rowOff>95250</xdr:rowOff>
                  </from>
                  <to>
                    <xdr:col>10</xdr:col>
                    <xdr:colOff>219075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Export">
                <anchor moveWithCells="1">
                  <from>
                    <xdr:col>7</xdr:col>
                    <xdr:colOff>9525</xdr:colOff>
                    <xdr:row>29</xdr:row>
                    <xdr:rowOff>9525</xdr:rowOff>
                  </from>
                  <to>
                    <xdr:col>10</xdr:col>
                    <xdr:colOff>209550</xdr:colOff>
                    <xdr:row>31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AA280"/>
  <sheetViews>
    <sheetView topLeftCell="A16" workbookViewId="0">
      <selection activeCell="A6" sqref="A6:XFD6"/>
    </sheetView>
  </sheetViews>
  <sheetFormatPr defaultColWidth="9.140625" defaultRowHeight="11.25" x14ac:dyDescent="0.2"/>
  <cols>
    <col min="1" max="13" width="9.140625" style="12"/>
    <col min="14" max="15" width="5.5703125" style="12" customWidth="1"/>
    <col min="16" max="16" width="2.28515625" style="12" customWidth="1"/>
    <col min="17" max="17" width="10.140625" style="12" customWidth="1"/>
    <col min="18" max="21" width="9.140625" style="12"/>
    <col min="22" max="22" width="10" style="12" bestFit="1" customWidth="1"/>
    <col min="23" max="25" width="9.140625" style="12"/>
    <col min="26" max="26" width="8" style="12" customWidth="1"/>
    <col min="27" max="27" width="9.140625" style="12"/>
    <col min="28" max="28" width="18.5703125" style="12" customWidth="1"/>
    <col min="29" max="29" width="10" style="12" customWidth="1"/>
    <col min="30" max="35" width="9.140625" style="12"/>
    <col min="36" max="36" width="8" style="12" customWidth="1"/>
    <col min="37" max="16384" width="9.140625" style="12"/>
  </cols>
  <sheetData>
    <row r="3" spans="1:27" x14ac:dyDescent="0.2">
      <c r="F3" s="85"/>
    </row>
    <row r="4" spans="1:27" x14ac:dyDescent="0.2">
      <c r="R4" s="190" t="s">
        <v>125</v>
      </c>
      <c r="S4" s="190" t="s">
        <v>37</v>
      </c>
      <c r="T4" s="190" t="s">
        <v>38</v>
      </c>
      <c r="U4" s="190" t="s">
        <v>37</v>
      </c>
      <c r="V4" s="190" t="s">
        <v>123</v>
      </c>
      <c r="W4" s="191" t="s">
        <v>124</v>
      </c>
      <c r="X4" s="190" t="s">
        <v>37</v>
      </c>
      <c r="Y4" s="190" t="s">
        <v>38</v>
      </c>
      <c r="Z4" s="190" t="s">
        <v>37</v>
      </c>
      <c r="AA4" s="190" t="s">
        <v>123</v>
      </c>
    </row>
    <row r="5" spans="1:27" x14ac:dyDescent="0.2">
      <c r="C5" s="17" t="s">
        <v>5</v>
      </c>
      <c r="D5" s="17" t="s">
        <v>6</v>
      </c>
      <c r="E5" s="17"/>
      <c r="F5" s="17" t="s">
        <v>5</v>
      </c>
      <c r="G5" s="17" t="s">
        <v>6</v>
      </c>
      <c r="H5" s="17"/>
      <c r="I5" s="17" t="s">
        <v>42</v>
      </c>
      <c r="J5" s="17" t="s">
        <v>43</v>
      </c>
      <c r="K5" s="17"/>
      <c r="L5" s="17" t="s">
        <v>3</v>
      </c>
      <c r="M5" s="17" t="s">
        <v>4</v>
      </c>
      <c r="N5" s="8"/>
      <c r="O5" s="8"/>
      <c r="P5" s="8"/>
      <c r="Q5" s="188">
        <v>1</v>
      </c>
      <c r="R5" s="193">
        <f>Design!D45</f>
        <v>2.7229640864390294</v>
      </c>
      <c r="S5" s="189">
        <f>COS(R5*PI()/180)</f>
        <v>0.99887091451727661</v>
      </c>
      <c r="T5" s="189">
        <f>SIN(R5*PI()/180)</f>
        <v>4.7506800896498627E-2</v>
      </c>
      <c r="U5" s="189">
        <f>S5</f>
        <v>0.99887091451727661</v>
      </c>
      <c r="V5" s="189">
        <f>TAN(R5*PI()/180)</f>
        <v>4.7560500767466228E-2</v>
      </c>
      <c r="W5" s="189">
        <f>R5/2</f>
        <v>1.3614820432195147</v>
      </c>
      <c r="X5" s="189">
        <f>COS(W5*PI()/180)</f>
        <v>0.99971768877950651</v>
      </c>
      <c r="Y5" s="189">
        <f>SIN(W5*PI()/180)</f>
        <v>2.3760108193392446E-2</v>
      </c>
      <c r="Z5" s="189">
        <f>X5</f>
        <v>0.99971768877950651</v>
      </c>
      <c r="AA5" s="189">
        <f>TAN(W5*PI()/180)</f>
        <v>2.3766817832742055E-2</v>
      </c>
    </row>
    <row r="6" spans="1:27" x14ac:dyDescent="0.2">
      <c r="A6" s="13" t="str">
        <f>Design!I5</f>
        <v>Panel A, top &amp; bottom</v>
      </c>
      <c r="B6" s="86"/>
      <c r="C6" s="87">
        <f>C18-Design!D49</f>
        <v>118.75</v>
      </c>
      <c r="D6" s="87">
        <f>D18</f>
        <v>76.835000000000008</v>
      </c>
      <c r="E6" s="88"/>
      <c r="F6" s="87">
        <f>IF(Design!$H$5="x",C6,0)</f>
        <v>118.75</v>
      </c>
      <c r="G6" s="87">
        <f>IF(Design!$H$5="x",D6,0)</f>
        <v>76.835000000000008</v>
      </c>
      <c r="H6" s="88"/>
      <c r="I6" s="87"/>
      <c r="J6" s="87"/>
      <c r="K6" s="88"/>
      <c r="L6" s="89"/>
      <c r="M6" s="90"/>
      <c r="Q6" s="192">
        <v>2</v>
      </c>
      <c r="R6" s="193">
        <f>Design!$D46</f>
        <v>4.6422128437590908</v>
      </c>
      <c r="S6" s="189">
        <f>COS(R6*PI()/180)</f>
        <v>0.99671952112631668</v>
      </c>
      <c r="T6" s="189">
        <f>SIN(R6*PI()/180)</f>
        <v>8.0933282435138282E-2</v>
      </c>
      <c r="U6" s="189">
        <f>S6</f>
        <v>0.99671952112631668</v>
      </c>
      <c r="V6" s="189">
        <f>TAN(R6*PI()/180)</f>
        <v>8.1199656191825911E-2</v>
      </c>
      <c r="W6" s="189">
        <f>R6/2</f>
        <v>2.3211064218795454</v>
      </c>
      <c r="X6" s="189">
        <f>COS(W6*PI()/180)</f>
        <v>0.9991795437073151</v>
      </c>
      <c r="Y6" s="189">
        <f>SIN(W6*PI()/180)</f>
        <v>4.049986959042752E-2</v>
      </c>
      <c r="Z6" s="189">
        <f>X6</f>
        <v>0.9991795437073151</v>
      </c>
      <c r="AA6" s="189">
        <f>TAN(W6*PI()/180)</f>
        <v>4.0533125248099509E-2</v>
      </c>
    </row>
    <row r="7" spans="1:27" x14ac:dyDescent="0.2">
      <c r="A7" s="91"/>
      <c r="B7" s="92"/>
      <c r="C7" s="93">
        <f>C6</f>
        <v>118.75</v>
      </c>
      <c r="D7" s="93">
        <f>D20</f>
        <v>0</v>
      </c>
      <c r="E7" s="94"/>
      <c r="F7" s="93">
        <f>IF(Design!$H$5="x",C7,0)</f>
        <v>118.75</v>
      </c>
      <c r="G7" s="93">
        <f>IF(Design!$H$5="x",D7,0)</f>
        <v>0</v>
      </c>
      <c r="H7" s="94"/>
      <c r="I7" s="95">
        <f t="shared" ref="I7:J10" si="0">C6-C7</f>
        <v>0</v>
      </c>
      <c r="J7" s="95">
        <f t="shared" si="0"/>
        <v>76.835000000000008</v>
      </c>
      <c r="K7" s="95">
        <f>(I7^2+J7^2)^0.5</f>
        <v>76.835000000000008</v>
      </c>
      <c r="L7" s="95"/>
      <c r="M7" s="96"/>
      <c r="Q7" s="192">
        <v>3</v>
      </c>
      <c r="R7" s="193">
        <f>(180-R5)/2-R6</f>
        <v>83.996305113021393</v>
      </c>
      <c r="S7" s="189">
        <f>COS((R7)*PI()/180)</f>
        <v>0.10459259772182318</v>
      </c>
      <c r="T7" s="189">
        <f>SIN((R7)*PI()/180)</f>
        <v>0.99451515247471256</v>
      </c>
      <c r="U7" s="189">
        <f>S7</f>
        <v>0.10459259772182318</v>
      </c>
      <c r="V7" s="189">
        <f>TAN((R7)*PI()/180)</f>
        <v>9.5084659348431853</v>
      </c>
      <c r="W7" s="189">
        <f>R7/2</f>
        <v>41.998152556510696</v>
      </c>
      <c r="X7" s="189">
        <f>COS(W7*PI()/180)</f>
        <v>0.74316640051936655</v>
      </c>
      <c r="Y7" s="189">
        <f>SIN(W7*PI()/180)</f>
        <v>0.66910664407035181</v>
      </c>
      <c r="Z7" s="189">
        <f>X7</f>
        <v>0.74316640051936655</v>
      </c>
      <c r="AA7" s="189">
        <f>TAN(W7*PI()/180)</f>
        <v>0.90034566094853363</v>
      </c>
    </row>
    <row r="8" spans="1:27" x14ac:dyDescent="0.2">
      <c r="A8" s="91"/>
      <c r="B8" s="92"/>
      <c r="C8" s="93">
        <f>C7+Design!D49</f>
        <v>120.65</v>
      </c>
      <c r="D8" s="93">
        <f>D7</f>
        <v>0</v>
      </c>
      <c r="E8" s="94"/>
      <c r="F8" s="93">
        <f>IF(Design!$H$5="x",C8,0)</f>
        <v>120.65</v>
      </c>
      <c r="G8" s="93">
        <f>IF(Design!$H$5="x",D8,0)</f>
        <v>0</v>
      </c>
      <c r="H8" s="94"/>
      <c r="I8" s="95">
        <f t="shared" si="0"/>
        <v>-1.9000000000000057</v>
      </c>
      <c r="J8" s="95">
        <f t="shared" si="0"/>
        <v>0</v>
      </c>
      <c r="K8" s="95">
        <f>(I8^2+J8^2)^0.5</f>
        <v>1.9000000000000057</v>
      </c>
      <c r="L8" s="95"/>
      <c r="M8" s="96"/>
      <c r="Q8" s="192" t="s">
        <v>134</v>
      </c>
      <c r="R8" s="193">
        <f>R5+R6</f>
        <v>7.3651769301981203</v>
      </c>
      <c r="S8" s="189">
        <f>COS((R8)*PI()/180)</f>
        <v>0.99174925825011973</v>
      </c>
      <c r="T8" s="189">
        <f>SIN((R8)*PI()/180)</f>
        <v>0.12819285768067298</v>
      </c>
      <c r="U8" s="189">
        <f>S8</f>
        <v>0.99174925825011973</v>
      </c>
      <c r="V8" s="189">
        <f>TAN((R8)*PI()/180)</f>
        <v>0.12925934313967763</v>
      </c>
      <c r="W8" s="189">
        <f>R8/2</f>
        <v>3.6825884650990601</v>
      </c>
      <c r="X8" s="189">
        <f>COS(W8*PI()/180)</f>
        <v>0.99793518282755211</v>
      </c>
      <c r="Y8" s="189">
        <f>SIN(W8*PI()/180)</f>
        <v>6.4229050085923931E-2</v>
      </c>
      <c r="Z8" s="189">
        <f>X8</f>
        <v>0.99793518282755211</v>
      </c>
      <c r="AA8" s="189">
        <f>TAN(W8*PI()/180)</f>
        <v>6.4361945736733289E-2</v>
      </c>
    </row>
    <row r="9" spans="1:27" x14ac:dyDescent="0.2">
      <c r="A9" s="91"/>
      <c r="B9" s="92"/>
      <c r="C9" s="93">
        <f>C8</f>
        <v>120.65</v>
      </c>
      <c r="D9" s="93">
        <f>D6</f>
        <v>76.835000000000008</v>
      </c>
      <c r="E9" s="92"/>
      <c r="F9" s="93">
        <f>IF(Design!$H$5="x",C9,0)</f>
        <v>120.65</v>
      </c>
      <c r="G9" s="93">
        <f>IF(Design!$H$5="x",D9,0)</f>
        <v>76.835000000000008</v>
      </c>
      <c r="H9" s="94"/>
      <c r="I9" s="95">
        <f t="shared" si="0"/>
        <v>0</v>
      </c>
      <c r="J9" s="95">
        <f t="shared" si="0"/>
        <v>-76.835000000000008</v>
      </c>
      <c r="K9" s="95">
        <f>(I9^2+J9^2)^0.5</f>
        <v>76.835000000000008</v>
      </c>
      <c r="L9" s="95"/>
      <c r="M9" s="96"/>
      <c r="Q9" s="192" t="s">
        <v>135</v>
      </c>
      <c r="R9" s="193">
        <f>R5-R6</f>
        <v>-1.9192487573200614</v>
      </c>
      <c r="S9" s="189">
        <f>COS((R9)*PI()/180)</f>
        <v>0.99943902091921211</v>
      </c>
      <c r="T9" s="189">
        <f>SIN((R9)*PI()/180)</f>
        <v>-3.3490946001070228E-2</v>
      </c>
      <c r="U9" s="189">
        <f>S9</f>
        <v>0.99943902091921211</v>
      </c>
      <c r="V9" s="189">
        <f>TAN((R9)*PI()/180)</f>
        <v>-3.3509744266606342E-2</v>
      </c>
      <c r="W9" s="189">
        <f>R9/2</f>
        <v>-0.9596243786600307</v>
      </c>
      <c r="X9" s="189">
        <f>COS((R9)*PI()/(180*2))</f>
        <v>0.99985974539412581</v>
      </c>
      <c r="Y9" s="189">
        <f>SIN((R9)*PI()/(180*2))</f>
        <v>-1.6747821959703323E-2</v>
      </c>
      <c r="Z9" s="189">
        <f>X9</f>
        <v>0.99985974539412581</v>
      </c>
      <c r="AA9" s="189">
        <f>TAN((R9)*PI()/(180*2))</f>
        <v>-1.675017124837009E-2</v>
      </c>
    </row>
    <row r="10" spans="1:27" x14ac:dyDescent="0.2">
      <c r="A10" s="97"/>
      <c r="B10" s="98"/>
      <c r="C10" s="99">
        <f>C6</f>
        <v>118.75</v>
      </c>
      <c r="D10" s="99">
        <f>D6</f>
        <v>76.835000000000008</v>
      </c>
      <c r="E10" s="98"/>
      <c r="F10" s="99">
        <f>IF(Design!$H$5="x",C10,0)</f>
        <v>118.75</v>
      </c>
      <c r="G10" s="99">
        <f>IF(Design!$H$5="x",D10,0)</f>
        <v>76.835000000000008</v>
      </c>
      <c r="H10" s="98"/>
      <c r="I10" s="100">
        <f t="shared" si="0"/>
        <v>1.9000000000000057</v>
      </c>
      <c r="J10" s="100">
        <f t="shared" si="0"/>
        <v>0</v>
      </c>
      <c r="K10" s="100">
        <f>(I10^2+J10^2)^0.5</f>
        <v>1.9000000000000057</v>
      </c>
      <c r="L10" s="98"/>
      <c r="M10" s="101"/>
    </row>
    <row r="11" spans="1:27" x14ac:dyDescent="0.2">
      <c r="C11" s="103"/>
    </row>
    <row r="12" spans="1:27" x14ac:dyDescent="0.2">
      <c r="A12" s="13" t="str">
        <f>Design!I5</f>
        <v>Panel A, top &amp; bottom</v>
      </c>
      <c r="B12" s="86"/>
      <c r="C12" s="87">
        <f>C19</f>
        <v>0</v>
      </c>
      <c r="D12" s="87">
        <f>D6</f>
        <v>76.835000000000008</v>
      </c>
      <c r="E12" s="88"/>
      <c r="F12" s="87">
        <f>IF(Design!$H$5="x",C12,0)</f>
        <v>0</v>
      </c>
      <c r="G12" s="87">
        <f>IF(Design!$H$5="x",D12,0)</f>
        <v>76.835000000000008</v>
      </c>
      <c r="H12" s="88"/>
      <c r="I12" s="87"/>
      <c r="J12" s="87"/>
      <c r="K12" s="88"/>
      <c r="L12" s="89"/>
      <c r="M12" s="90"/>
    </row>
    <row r="13" spans="1:27" x14ac:dyDescent="0.2">
      <c r="A13" s="91"/>
      <c r="B13" s="92"/>
      <c r="C13" s="93">
        <f>C12</f>
        <v>0</v>
      </c>
      <c r="D13" s="93">
        <f>D7</f>
        <v>0</v>
      </c>
      <c r="E13" s="94"/>
      <c r="F13" s="93">
        <f>IF(Design!$H$5="x",C13,0)</f>
        <v>0</v>
      </c>
      <c r="G13" s="93">
        <f>IF(Design!$H$5="x",D13,0)</f>
        <v>0</v>
      </c>
      <c r="H13" s="94"/>
      <c r="I13" s="95">
        <f t="shared" ref="I13:J16" si="1">C12-C13</f>
        <v>0</v>
      </c>
      <c r="J13" s="95">
        <f t="shared" si="1"/>
        <v>76.835000000000008</v>
      </c>
      <c r="K13" s="95">
        <f>(I13^2+J13^2)^0.5</f>
        <v>76.835000000000008</v>
      </c>
      <c r="L13" s="95"/>
      <c r="M13" s="96"/>
    </row>
    <row r="14" spans="1:27" x14ac:dyDescent="0.2">
      <c r="A14" s="91"/>
      <c r="B14" s="92"/>
      <c r="C14" s="93">
        <f>C13+Design!D49</f>
        <v>1.9</v>
      </c>
      <c r="D14" s="93">
        <f>D13</f>
        <v>0</v>
      </c>
      <c r="E14" s="94"/>
      <c r="F14" s="93">
        <f>IF(Design!$H$5="x",C14,0)</f>
        <v>1.9</v>
      </c>
      <c r="G14" s="93">
        <f>IF(Design!$H$5="x",D14,0)</f>
        <v>0</v>
      </c>
      <c r="H14" s="94"/>
      <c r="I14" s="95">
        <f t="shared" si="1"/>
        <v>-1.9</v>
      </c>
      <c r="J14" s="95">
        <f t="shared" si="1"/>
        <v>0</v>
      </c>
      <c r="K14" s="95">
        <f>(I14^2+J14^2)^0.5</f>
        <v>1.9</v>
      </c>
      <c r="L14" s="95"/>
      <c r="M14" s="96"/>
    </row>
    <row r="15" spans="1:27" x14ac:dyDescent="0.2">
      <c r="A15" s="91"/>
      <c r="B15" s="92"/>
      <c r="C15" s="93">
        <f>C14</f>
        <v>1.9</v>
      </c>
      <c r="D15" s="93">
        <f>D12</f>
        <v>76.835000000000008</v>
      </c>
      <c r="E15" s="92"/>
      <c r="F15" s="93">
        <f>IF(Design!$H$5="x",C15,0)</f>
        <v>1.9</v>
      </c>
      <c r="G15" s="93">
        <f>IF(Design!$H$5="x",D15,0)</f>
        <v>76.835000000000008</v>
      </c>
      <c r="H15" s="94"/>
      <c r="I15" s="95">
        <f t="shared" si="1"/>
        <v>0</v>
      </c>
      <c r="J15" s="95">
        <f t="shared" si="1"/>
        <v>-76.835000000000008</v>
      </c>
      <c r="K15" s="95">
        <f>(I15^2+J15^2)^0.5</f>
        <v>76.835000000000008</v>
      </c>
      <c r="L15" s="95"/>
      <c r="M15" s="96"/>
    </row>
    <row r="16" spans="1:27" x14ac:dyDescent="0.2">
      <c r="A16" s="97"/>
      <c r="B16" s="98"/>
      <c r="C16" s="99">
        <f>C12</f>
        <v>0</v>
      </c>
      <c r="D16" s="99">
        <f>D12</f>
        <v>76.835000000000008</v>
      </c>
      <c r="E16" s="98"/>
      <c r="F16" s="99">
        <f>IF(Design!$H$5="x",C16,0)</f>
        <v>0</v>
      </c>
      <c r="G16" s="99">
        <f>IF(Design!$H$5="x",D16,0)</f>
        <v>76.835000000000008</v>
      </c>
      <c r="H16" s="98"/>
      <c r="I16" s="100">
        <f t="shared" si="1"/>
        <v>1.9</v>
      </c>
      <c r="J16" s="100">
        <f t="shared" si="1"/>
        <v>0</v>
      </c>
      <c r="K16" s="100">
        <f>(I16^2+J16^2)^0.5</f>
        <v>1.9</v>
      </c>
      <c r="L16" s="98"/>
      <c r="M16" s="101"/>
    </row>
    <row r="18" spans="1:26" x14ac:dyDescent="0.2">
      <c r="A18" s="13" t="s">
        <v>50</v>
      </c>
      <c r="B18" s="86"/>
      <c r="C18" s="87">
        <f>Design!D13</f>
        <v>120.65</v>
      </c>
      <c r="D18" s="87">
        <f>Design!D11</f>
        <v>76.835000000000008</v>
      </c>
      <c r="E18" s="88"/>
      <c r="F18" s="87">
        <f>IF(Design!$H$7="x",C18,0)</f>
        <v>120.65</v>
      </c>
      <c r="G18" s="87">
        <f>IF(Design!$H$7="x",D18,0)</f>
        <v>76.835000000000008</v>
      </c>
      <c r="H18" s="88"/>
      <c r="I18" s="89"/>
      <c r="J18" s="89"/>
      <c r="K18" s="89"/>
      <c r="L18" s="89"/>
      <c r="M18" s="90"/>
      <c r="N18" s="9"/>
      <c r="O18" s="9"/>
    </row>
    <row r="19" spans="1:26" x14ac:dyDescent="0.2">
      <c r="A19" s="91"/>
      <c r="B19" s="92"/>
      <c r="C19" s="93">
        <v>0</v>
      </c>
      <c r="D19" s="93">
        <f>D18</f>
        <v>76.835000000000008</v>
      </c>
      <c r="E19" s="94"/>
      <c r="F19" s="93">
        <f>IF(Design!$H$7="x",C19,0)</f>
        <v>0</v>
      </c>
      <c r="G19" s="93">
        <f>IF(Design!$H$7="x",D19,0)</f>
        <v>76.835000000000008</v>
      </c>
      <c r="H19" s="94"/>
      <c r="I19" s="95">
        <f t="shared" ref="I19:J22" si="2">C18-C19</f>
        <v>120.65</v>
      </c>
      <c r="J19" s="95">
        <f t="shared" si="2"/>
        <v>0</v>
      </c>
      <c r="K19" s="95">
        <f>(I19^2+J19^2)^0.5</f>
        <v>120.65</v>
      </c>
      <c r="L19" s="95"/>
      <c r="M19" s="96"/>
    </row>
    <row r="20" spans="1:26" x14ac:dyDescent="0.2">
      <c r="A20" s="91"/>
      <c r="B20" s="92"/>
      <c r="C20" s="93">
        <f>C19</f>
        <v>0</v>
      </c>
      <c r="D20" s="93">
        <v>0</v>
      </c>
      <c r="E20" s="94"/>
      <c r="F20" s="93">
        <f>IF(Design!$H$7="x",C20,0)</f>
        <v>0</v>
      </c>
      <c r="G20" s="93">
        <f>IF(Design!$H$7="x",D20,0)</f>
        <v>0</v>
      </c>
      <c r="H20" s="94"/>
      <c r="I20" s="95">
        <f t="shared" si="2"/>
        <v>0</v>
      </c>
      <c r="J20" s="95">
        <f t="shared" si="2"/>
        <v>76.835000000000008</v>
      </c>
      <c r="K20" s="95">
        <f>(I20^2+J20^2)^0.5</f>
        <v>76.835000000000008</v>
      </c>
      <c r="L20" s="95"/>
      <c r="M20" s="96"/>
    </row>
    <row r="21" spans="1:26" x14ac:dyDescent="0.2">
      <c r="A21" s="91"/>
      <c r="B21" s="92"/>
      <c r="C21" s="93">
        <f>C18</f>
        <v>120.65</v>
      </c>
      <c r="D21" s="93">
        <f>D20</f>
        <v>0</v>
      </c>
      <c r="E21" s="94"/>
      <c r="F21" s="93">
        <f>IF(Design!$H$7="x",C21,0)</f>
        <v>120.65</v>
      </c>
      <c r="G21" s="93">
        <f>IF(Design!$H$7="x",D21,0)</f>
        <v>0</v>
      </c>
      <c r="H21" s="94"/>
      <c r="I21" s="95">
        <f t="shared" si="2"/>
        <v>-120.65</v>
      </c>
      <c r="J21" s="95">
        <f t="shared" si="2"/>
        <v>0</v>
      </c>
      <c r="K21" s="95">
        <f>(I21^2+J21^2)^0.5</f>
        <v>120.65</v>
      </c>
      <c r="L21" s="95"/>
      <c r="M21" s="96"/>
    </row>
    <row r="22" spans="1:26" x14ac:dyDescent="0.2">
      <c r="A22" s="97"/>
      <c r="B22" s="98"/>
      <c r="C22" s="99">
        <f>C18</f>
        <v>120.65</v>
      </c>
      <c r="D22" s="99">
        <f>D18</f>
        <v>76.835000000000008</v>
      </c>
      <c r="E22" s="98"/>
      <c r="F22" s="99">
        <f>IF(Design!$H$7="x",C22,0)</f>
        <v>120.65</v>
      </c>
      <c r="G22" s="99">
        <f>IF(Design!$H$7="x",D22,0)</f>
        <v>76.835000000000008</v>
      </c>
      <c r="H22" s="98"/>
      <c r="I22" s="100">
        <f t="shared" si="2"/>
        <v>0</v>
      </c>
      <c r="J22" s="100">
        <f t="shared" si="2"/>
        <v>-76.835000000000008</v>
      </c>
      <c r="K22" s="100">
        <f>(I22^2+J22^2)^0.5</f>
        <v>76.835000000000008</v>
      </c>
      <c r="L22" s="98"/>
      <c r="M22" s="101"/>
    </row>
    <row r="24" spans="1:26" x14ac:dyDescent="0.2">
      <c r="A24" s="13" t="s">
        <v>36</v>
      </c>
      <c r="B24" s="86"/>
      <c r="C24" s="87">
        <f>C14</f>
        <v>1.9</v>
      </c>
      <c r="D24" s="87">
        <f>D20+Design!D52</f>
        <v>1.9</v>
      </c>
      <c r="E24" s="88"/>
      <c r="F24" s="87">
        <f>IF(Design!$H$8="x",C24,0)</f>
        <v>1.9</v>
      </c>
      <c r="G24" s="87">
        <f>IF(Design!$H$8="x",D24,0)</f>
        <v>1.9</v>
      </c>
      <c r="H24" s="88"/>
      <c r="I24" s="89"/>
      <c r="J24" s="89"/>
      <c r="K24" s="89"/>
      <c r="L24" s="89"/>
      <c r="M24" s="90"/>
    </row>
    <row r="25" spans="1:26" x14ac:dyDescent="0.2">
      <c r="A25" s="91"/>
      <c r="B25" s="92"/>
      <c r="C25" s="93">
        <f>C7</f>
        <v>118.75</v>
      </c>
      <c r="D25" s="93">
        <f>D24</f>
        <v>1.9</v>
      </c>
      <c r="E25" s="94"/>
      <c r="F25" s="93">
        <f>IF(Design!$H$8="x",C25,0)</f>
        <v>118.75</v>
      </c>
      <c r="G25" s="93">
        <f>IF(Design!$H$8="x",D25,0)</f>
        <v>1.9</v>
      </c>
      <c r="H25" s="94"/>
      <c r="I25" s="95">
        <f t="shared" ref="I25:J28" si="3">C24-C25</f>
        <v>-116.85</v>
      </c>
      <c r="J25" s="95">
        <f t="shared" si="3"/>
        <v>0</v>
      </c>
      <c r="K25" s="95">
        <f>(I25^2+J25^2)^0.5</f>
        <v>116.85</v>
      </c>
      <c r="L25" s="95"/>
      <c r="M25" s="96"/>
    </row>
    <row r="26" spans="1:26" x14ac:dyDescent="0.2">
      <c r="A26" s="91"/>
      <c r="B26" s="92"/>
      <c r="C26" s="93">
        <f>C25</f>
        <v>118.75</v>
      </c>
      <c r="D26" s="93">
        <f>D25-Design!D52</f>
        <v>0</v>
      </c>
      <c r="E26" s="94"/>
      <c r="F26" s="93">
        <f>IF(Design!$H$8="x",C26,0)</f>
        <v>118.75</v>
      </c>
      <c r="G26" s="93">
        <f>IF(Design!$H$8="x",D26,0)</f>
        <v>0</v>
      </c>
      <c r="H26" s="94"/>
      <c r="I26" s="95">
        <f t="shared" si="3"/>
        <v>0</v>
      </c>
      <c r="J26" s="95">
        <f t="shared" si="3"/>
        <v>1.9</v>
      </c>
      <c r="K26" s="95">
        <f>(I26^2+J26^2)^0.5</f>
        <v>1.9</v>
      </c>
      <c r="L26" s="95"/>
      <c r="M26" s="96"/>
    </row>
    <row r="27" spans="1:26" x14ac:dyDescent="0.2">
      <c r="A27" s="91"/>
      <c r="B27" s="92"/>
      <c r="C27" s="93">
        <f>C24</f>
        <v>1.9</v>
      </c>
      <c r="D27" s="93">
        <f>D26</f>
        <v>0</v>
      </c>
      <c r="E27" s="94"/>
      <c r="F27" s="93">
        <f>IF(Design!$H$8="x",C27,0)</f>
        <v>1.9</v>
      </c>
      <c r="G27" s="93">
        <f>IF(Design!$H$8="x",D27,0)</f>
        <v>0</v>
      </c>
      <c r="H27" s="94"/>
      <c r="I27" s="95">
        <f t="shared" si="3"/>
        <v>116.85</v>
      </c>
      <c r="J27" s="95">
        <f t="shared" si="3"/>
        <v>0</v>
      </c>
      <c r="K27" s="95">
        <f>(I27^2+J27^2)^0.5</f>
        <v>116.85</v>
      </c>
      <c r="L27" s="95"/>
      <c r="M27" s="96"/>
    </row>
    <row r="28" spans="1:26" x14ac:dyDescent="0.2">
      <c r="A28" s="97"/>
      <c r="B28" s="98"/>
      <c r="C28" s="99">
        <f>C24</f>
        <v>1.9</v>
      </c>
      <c r="D28" s="99">
        <f>D24</f>
        <v>1.9</v>
      </c>
      <c r="E28" s="105"/>
      <c r="F28" s="99">
        <f>IF(Design!$H$8="x",C28,0)</f>
        <v>1.9</v>
      </c>
      <c r="G28" s="99">
        <f>IF(Design!$H$8="x",D28,0)</f>
        <v>1.9</v>
      </c>
      <c r="H28" s="105"/>
      <c r="I28" s="100">
        <f t="shared" si="3"/>
        <v>0</v>
      </c>
      <c r="J28" s="100">
        <f t="shared" si="3"/>
        <v>-1.9</v>
      </c>
      <c r="K28" s="100">
        <f>(I28^2+J28^2)^0.5</f>
        <v>1.9</v>
      </c>
      <c r="L28" s="98"/>
      <c r="M28" s="101"/>
    </row>
    <row r="29" spans="1:26" x14ac:dyDescent="0.2">
      <c r="Y29" s="43"/>
      <c r="Z29" s="43"/>
    </row>
    <row r="30" spans="1:26" x14ac:dyDescent="0.2">
      <c r="A30" s="13" t="s">
        <v>51</v>
      </c>
      <c r="B30" s="86"/>
      <c r="C30" s="87">
        <f>C6</f>
        <v>118.75</v>
      </c>
      <c r="D30" s="87">
        <f>D18</f>
        <v>76.835000000000008</v>
      </c>
      <c r="E30" s="88"/>
      <c r="F30" s="87">
        <f>IF(Design!$H$9="x",C30,0)</f>
        <v>118.75</v>
      </c>
      <c r="G30" s="87">
        <f>IF(Design!$H$9="x",D30,0)</f>
        <v>76.835000000000008</v>
      </c>
      <c r="H30" s="88"/>
      <c r="I30" s="89"/>
      <c r="J30" s="89"/>
      <c r="K30" s="89"/>
      <c r="L30" s="89"/>
      <c r="M30" s="90"/>
    </row>
    <row r="31" spans="1:26" x14ac:dyDescent="0.2">
      <c r="A31" s="91"/>
      <c r="B31" s="92"/>
      <c r="C31" s="93">
        <f>C30-Design!F53</f>
        <v>35.548065717529553</v>
      </c>
      <c r="D31" s="93">
        <f>D30</f>
        <v>76.835000000000008</v>
      </c>
      <c r="E31" s="94"/>
      <c r="F31" s="93">
        <f>IF(Design!$H$9="x",C31,0)</f>
        <v>35.548065717529553</v>
      </c>
      <c r="G31" s="93">
        <f>IF(Design!$H$9="x",D31,0)</f>
        <v>76.835000000000008</v>
      </c>
      <c r="H31" s="94"/>
      <c r="I31" s="95">
        <f t="shared" ref="I31:J34" si="4">C30-C31</f>
        <v>83.201934282470447</v>
      </c>
      <c r="J31" s="95">
        <f t="shared" si="4"/>
        <v>0</v>
      </c>
      <c r="K31" s="95">
        <f>(I31^2+J31^2)^0.5</f>
        <v>83.201934282470447</v>
      </c>
      <c r="L31" s="95"/>
      <c r="M31" s="96"/>
    </row>
    <row r="32" spans="1:26" x14ac:dyDescent="0.2">
      <c r="A32" s="91"/>
      <c r="B32" s="92"/>
      <c r="C32" s="93">
        <f>C31</f>
        <v>35.548065717529553</v>
      </c>
      <c r="D32" s="93">
        <f>D31-Design!D53</f>
        <v>74.935000000000002</v>
      </c>
      <c r="E32" s="94"/>
      <c r="F32" s="93">
        <f>IF(Design!$H$9="x",C32,0)</f>
        <v>35.548065717529553</v>
      </c>
      <c r="G32" s="93">
        <f>IF(Design!$H$9="x",D32,0)</f>
        <v>74.935000000000002</v>
      </c>
      <c r="H32" s="94"/>
      <c r="I32" s="95">
        <f t="shared" si="4"/>
        <v>0</v>
      </c>
      <c r="J32" s="95">
        <f t="shared" si="4"/>
        <v>1.9000000000000057</v>
      </c>
      <c r="K32" s="95">
        <f>(I32^2+J32^2)^0.5</f>
        <v>1.9000000000000057</v>
      </c>
      <c r="L32" s="95"/>
      <c r="M32" s="96"/>
    </row>
    <row r="33" spans="1:27" x14ac:dyDescent="0.2">
      <c r="A33" s="91"/>
      <c r="B33" s="92"/>
      <c r="C33" s="93">
        <f>C30</f>
        <v>118.75</v>
      </c>
      <c r="D33" s="93">
        <f>D32</f>
        <v>74.935000000000002</v>
      </c>
      <c r="E33" s="94"/>
      <c r="F33" s="93">
        <f>IF(Design!$H$9="x",C33,0)</f>
        <v>118.75</v>
      </c>
      <c r="G33" s="93">
        <f>IF(Design!$H$9="x",D33,0)</f>
        <v>74.935000000000002</v>
      </c>
      <c r="H33" s="94"/>
      <c r="I33" s="95">
        <f t="shared" si="4"/>
        <v>-83.201934282470447</v>
      </c>
      <c r="J33" s="95">
        <f t="shared" si="4"/>
        <v>0</v>
      </c>
      <c r="K33" s="95">
        <f>(I33^2+J33^2)^0.5</f>
        <v>83.201934282470447</v>
      </c>
      <c r="L33" s="95"/>
      <c r="M33" s="96"/>
    </row>
    <row r="34" spans="1:27" x14ac:dyDescent="0.2">
      <c r="A34" s="97"/>
      <c r="B34" s="98"/>
      <c r="C34" s="99">
        <f>C33</f>
        <v>118.75</v>
      </c>
      <c r="D34" s="99">
        <f>D31</f>
        <v>76.835000000000008</v>
      </c>
      <c r="E34" s="105"/>
      <c r="F34" s="99">
        <f>IF(Design!$H$9="x",C34,0)</f>
        <v>118.75</v>
      </c>
      <c r="G34" s="99">
        <f>IF(Design!$H$9="x",D34,0)</f>
        <v>76.835000000000008</v>
      </c>
      <c r="H34" s="105"/>
      <c r="I34" s="100">
        <f t="shared" si="4"/>
        <v>0</v>
      </c>
      <c r="J34" s="100">
        <f t="shared" si="4"/>
        <v>-1.9000000000000057</v>
      </c>
      <c r="K34" s="100">
        <f>(I34^2+J34^2)^0.5</f>
        <v>1.9000000000000057</v>
      </c>
      <c r="L34" s="98"/>
      <c r="M34" s="101"/>
    </row>
    <row r="36" spans="1:27" x14ac:dyDescent="0.2">
      <c r="A36" s="13" t="s">
        <v>59</v>
      </c>
      <c r="B36" s="86"/>
      <c r="C36" s="87">
        <f>C32-Design!D50*Panels!S6</f>
        <v>33.654298627389551</v>
      </c>
      <c r="D36" s="87">
        <f>D39+Design!D50*Panels!T6</f>
        <v>76.98877323662677</v>
      </c>
      <c r="E36" s="88"/>
      <c r="F36" s="87">
        <f>IF(Design!$H$6="x",C36,0)</f>
        <v>33.654298627389551</v>
      </c>
      <c r="G36" s="87">
        <f>IF(Design!$H$6="x",D36,0)</f>
        <v>76.98877323662677</v>
      </c>
      <c r="H36" s="88"/>
      <c r="I36" s="89"/>
      <c r="J36" s="89"/>
      <c r="K36" s="89"/>
      <c r="L36" s="89">
        <f>IF(C37=C36,0,(D37-D36)/(C37-C36))</f>
        <v>12.31532308015692</v>
      </c>
      <c r="M36" s="90">
        <f>IF(L36=0,0,D36-L36*C36)</f>
        <v>-337.47478739575718</v>
      </c>
    </row>
    <row r="37" spans="1:27" x14ac:dyDescent="0.2">
      <c r="A37" s="91"/>
      <c r="B37" s="92"/>
      <c r="C37" s="93">
        <f>C36-Design!F50*T6</f>
        <v>29.81285537892925</v>
      </c>
      <c r="D37" s="93">
        <f>D36-Design!F50*Panels!S6</f>
        <v>29.68015853775065</v>
      </c>
      <c r="E37" s="94"/>
      <c r="F37" s="93">
        <f>IF(Design!$H$6="x",C37,0)</f>
        <v>29.81285537892925</v>
      </c>
      <c r="G37" s="93">
        <f>IF(Design!$H$6="x",D37,0)</f>
        <v>29.68015853775065</v>
      </c>
      <c r="H37" s="94"/>
      <c r="I37" s="95">
        <f t="shared" ref="I37:J40" si="5">C36-C37</f>
        <v>3.8414432484603012</v>
      </c>
      <c r="J37" s="95">
        <f t="shared" si="5"/>
        <v>47.30861469887612</v>
      </c>
      <c r="K37" s="95">
        <f>(I37^2+J37^2)^0.5</f>
        <v>47.46432039919943</v>
      </c>
      <c r="L37" s="95">
        <f>IF(C38=C37,0,(D38-D37)/(C38-C37))</f>
        <v>-8.1199656191825439E-2</v>
      </c>
      <c r="M37" s="96">
        <f>IF(L37=0,0,D37-L37*C37)</f>
        <v>32.100952144616322</v>
      </c>
    </row>
    <row r="38" spans="1:27" x14ac:dyDescent="0.2">
      <c r="A38" s="91"/>
      <c r="B38" s="92"/>
      <c r="C38" s="93">
        <f>C37+Design!D50*S6</f>
        <v>31.706622469069252</v>
      </c>
      <c r="D38" s="93">
        <f>D37-Design!D50*Panels!T6</f>
        <v>29.526385301123888</v>
      </c>
      <c r="E38" s="92"/>
      <c r="F38" s="93">
        <f>IF(Design!$H$6="x",C38,0)</f>
        <v>31.706622469069252</v>
      </c>
      <c r="G38" s="93">
        <f>IF(Design!$H$6="x",D38,0)</f>
        <v>29.526385301123888</v>
      </c>
      <c r="H38" s="94"/>
      <c r="I38" s="95">
        <f t="shared" si="5"/>
        <v>-1.8937670901400026</v>
      </c>
      <c r="J38" s="95">
        <f t="shared" si="5"/>
        <v>0.1537732366267619</v>
      </c>
      <c r="K38" s="95">
        <f>(I38^2+J38^2)^0.5</f>
        <v>1.9000000000000006</v>
      </c>
      <c r="L38" s="95">
        <f>IF(C39=C38,0,(D39-D38)/(C39-C38))</f>
        <v>12.31532308015692</v>
      </c>
      <c r="M38" s="96">
        <f>IF(L38=0,0,D38-L38*C38)</f>
        <v>-360.95091418602669</v>
      </c>
      <c r="AA38" s="43"/>
    </row>
    <row r="39" spans="1:27" x14ac:dyDescent="0.2">
      <c r="A39" s="91"/>
      <c r="B39" s="92"/>
      <c r="C39" s="93">
        <f>C31</f>
        <v>35.548065717529553</v>
      </c>
      <c r="D39" s="93">
        <f>D31</f>
        <v>76.835000000000008</v>
      </c>
      <c r="E39" s="92"/>
      <c r="F39" s="93">
        <f>IF(Design!$H$6="x",C39,0)</f>
        <v>35.548065717529553</v>
      </c>
      <c r="G39" s="93">
        <f>IF(Design!$H$6="x",D39,0)</f>
        <v>76.835000000000008</v>
      </c>
      <c r="H39" s="94"/>
      <c r="I39" s="95">
        <f t="shared" si="5"/>
        <v>-3.8414432484603012</v>
      </c>
      <c r="J39" s="95">
        <f t="shared" si="5"/>
        <v>-47.30861469887612</v>
      </c>
      <c r="K39" s="95">
        <f>(I39^2+J39^2)^0.5</f>
        <v>47.46432039919943</v>
      </c>
      <c r="L39" s="95">
        <f>IF(C40=C39,0,(D40-D39)/(C40-C39))</f>
        <v>-8.1199656191825439E-2</v>
      </c>
      <c r="M39" s="96">
        <f>IF(L39=0,0,D39-L39*C39)</f>
        <v>79.721490714547826</v>
      </c>
    </row>
    <row r="40" spans="1:27" x14ac:dyDescent="0.2">
      <c r="A40" s="97"/>
      <c r="B40" s="98"/>
      <c r="C40" s="99">
        <f>C36</f>
        <v>33.654298627389551</v>
      </c>
      <c r="D40" s="99">
        <f>D36</f>
        <v>76.98877323662677</v>
      </c>
      <c r="E40" s="98"/>
      <c r="F40" s="99">
        <f>IF(Design!$H$6="x",C40,0)</f>
        <v>33.654298627389551</v>
      </c>
      <c r="G40" s="99">
        <f>IF(Design!$H$6="x",D40,0)</f>
        <v>76.98877323662677</v>
      </c>
      <c r="H40" s="98"/>
      <c r="I40" s="100">
        <f t="shared" si="5"/>
        <v>1.8937670901400026</v>
      </c>
      <c r="J40" s="100">
        <f t="shared" si="5"/>
        <v>-0.1537732366267619</v>
      </c>
      <c r="K40" s="100">
        <f>(I40^2+J40^2)^0.5</f>
        <v>1.9000000000000006</v>
      </c>
      <c r="L40" s="100"/>
      <c r="M40" s="104"/>
    </row>
    <row r="41" spans="1:27" x14ac:dyDescent="0.2">
      <c r="C41" s="103"/>
      <c r="D41" s="103"/>
    </row>
    <row r="42" spans="1:27" x14ac:dyDescent="0.2">
      <c r="A42" s="21" t="s">
        <v>31</v>
      </c>
      <c r="B42" s="22"/>
      <c r="C42" s="25">
        <f>C37</f>
        <v>29.81285537892925</v>
      </c>
      <c r="D42" s="25">
        <f>D37</f>
        <v>29.68015853775065</v>
      </c>
      <c r="E42" s="24"/>
      <c r="F42" s="25">
        <f>IF(Design!$H$10="x",C42,0)</f>
        <v>29.81285537892925</v>
      </c>
      <c r="G42" s="25">
        <f>IF(Design!$H$10="x",D42,0)</f>
        <v>29.68015853775065</v>
      </c>
      <c r="H42" s="24"/>
      <c r="I42" s="23"/>
      <c r="J42" s="23"/>
      <c r="K42" s="23"/>
      <c r="L42" s="23">
        <f>IF(C43=C42,0,(D43-D42)/(C43-C42))</f>
        <v>12.315323080156986</v>
      </c>
      <c r="M42" s="26">
        <f>IF(L42=0,0,D42-L42*C42)</f>
        <v>-337.47478739575911</v>
      </c>
    </row>
    <row r="43" spans="1:27" x14ac:dyDescent="0.2">
      <c r="A43" s="27"/>
      <c r="B43" s="28"/>
      <c r="C43" s="31">
        <f>C42-Design!D54*T6</f>
        <v>29.659082142302488</v>
      </c>
      <c r="D43" s="31">
        <f>D42-Design!D54*S6</f>
        <v>27.786391447610647</v>
      </c>
      <c r="E43" s="28"/>
      <c r="F43" s="31">
        <f>IF(Design!$H$10="x",C43,0)</f>
        <v>29.659082142302488</v>
      </c>
      <c r="G43" s="31">
        <f>IF(Design!$H$10="x",D43,0)</f>
        <v>27.786391447610647</v>
      </c>
      <c r="H43" s="30"/>
      <c r="I43" s="29">
        <f t="shared" ref="I43:J46" si="6">C42-C43</f>
        <v>0.1537732366267619</v>
      </c>
      <c r="J43" s="29">
        <f t="shared" si="6"/>
        <v>1.8937670901400026</v>
      </c>
      <c r="K43" s="29">
        <f>(I43^2+J43^2)^0.5</f>
        <v>1.9000000000000006</v>
      </c>
      <c r="L43" s="29">
        <f>IF(C44=C43,0,(D44-D43)/(C44-C43))</f>
        <v>-8.1199656191825897E-2</v>
      </c>
      <c r="M43" s="32">
        <f>IF(L43=0,0,D43-L43*C43)</f>
        <v>30.194698720530731</v>
      </c>
    </row>
    <row r="44" spans="1:27" x14ac:dyDescent="0.2">
      <c r="A44" s="27"/>
      <c r="B44" s="28"/>
      <c r="C44" s="31">
        <f>C43+Design!F54*S6</f>
        <v>67.425725035915377</v>
      </c>
      <c r="D44" s="31">
        <f>D43-Design!F54*T6</f>
        <v>24.719753029129816</v>
      </c>
      <c r="E44" s="28"/>
      <c r="F44" s="31">
        <f>IF(Design!$H$10="x",C44,0)</f>
        <v>67.425725035915377</v>
      </c>
      <c r="G44" s="31">
        <f>IF(Design!$H$10="x",D44,0)</f>
        <v>24.719753029129816</v>
      </c>
      <c r="H44" s="30"/>
      <c r="I44" s="29">
        <f t="shared" si="6"/>
        <v>-37.76664289361289</v>
      </c>
      <c r="J44" s="29">
        <f t="shared" si="6"/>
        <v>3.0666384184808315</v>
      </c>
      <c r="K44" s="29">
        <f>(I44^2+J44^2)^0.5</f>
        <v>37.890943332719807</v>
      </c>
      <c r="L44" s="29">
        <f>IF(C45=C44,0,(D45-D44)/(C45-C44))</f>
        <v>12.315323080156986</v>
      </c>
      <c r="M44" s="32">
        <f>IF(L44=0,0,D44-L44*C44)</f>
        <v>-805.64983470199752</v>
      </c>
    </row>
    <row r="45" spans="1:27" x14ac:dyDescent="0.2">
      <c r="A45" s="27"/>
      <c r="B45" s="28"/>
      <c r="C45" s="31">
        <f>C44+Design!D54*T6</f>
        <v>67.579498272542139</v>
      </c>
      <c r="D45" s="31">
        <f>D44+Design!D54*S6</f>
        <v>26.613520119269818</v>
      </c>
      <c r="E45" s="28"/>
      <c r="F45" s="31">
        <f>IF(Design!$H$10="x",C45,0)</f>
        <v>67.579498272542139</v>
      </c>
      <c r="G45" s="31">
        <f>IF(Design!$H$10="x",D45,0)</f>
        <v>26.613520119269818</v>
      </c>
      <c r="H45" s="30"/>
      <c r="I45" s="29">
        <f t="shared" si="6"/>
        <v>-0.1537732366267619</v>
      </c>
      <c r="J45" s="29">
        <f t="shared" si="6"/>
        <v>-1.8937670901400026</v>
      </c>
      <c r="K45" s="29">
        <f>(I45^2+J45^2)^0.5</f>
        <v>1.9000000000000006</v>
      </c>
      <c r="L45" s="29">
        <f>IF(C46=C45,0,(D46-D45)/(C46-C45))</f>
        <v>-8.1199656191825897E-2</v>
      </c>
      <c r="M45" s="32">
        <f>IF(L45=0,0,D45-L45*C45)</f>
        <v>32.100952144616329</v>
      </c>
    </row>
    <row r="46" spans="1:27" x14ac:dyDescent="0.2">
      <c r="A46" s="33"/>
      <c r="B46" s="34"/>
      <c r="C46" s="36">
        <f>C42</f>
        <v>29.81285537892925</v>
      </c>
      <c r="D46" s="36">
        <f>D42</f>
        <v>29.68015853775065</v>
      </c>
      <c r="E46" s="34"/>
      <c r="F46" s="36">
        <f>IF(Design!$H$10="x",C46,0)</f>
        <v>29.81285537892925</v>
      </c>
      <c r="G46" s="36">
        <f>IF(Design!$H$10="x",D46,0)</f>
        <v>29.68015853775065</v>
      </c>
      <c r="H46" s="34"/>
      <c r="I46" s="37">
        <f t="shared" si="6"/>
        <v>37.76664289361289</v>
      </c>
      <c r="J46" s="37">
        <f t="shared" si="6"/>
        <v>-3.0666384184808315</v>
      </c>
      <c r="K46" s="37">
        <f>(I46^2+J46^2)^0.5</f>
        <v>37.890943332719807</v>
      </c>
      <c r="L46" s="35"/>
      <c r="M46" s="106"/>
    </row>
    <row r="47" spans="1:27" x14ac:dyDescent="0.2">
      <c r="C47" s="103"/>
      <c r="D47" s="103"/>
    </row>
    <row r="48" spans="1:27" x14ac:dyDescent="0.2">
      <c r="A48" s="21" t="s">
        <v>132</v>
      </c>
      <c r="B48" s="22"/>
      <c r="C48" s="25">
        <f>C38+(Design!$F$56*S6)</f>
        <v>38.029786001071884</v>
      </c>
      <c r="D48" s="25">
        <f>D38-(Design!$F$56*T6)</f>
        <v>29.012946596280582</v>
      </c>
      <c r="E48" s="24"/>
      <c r="F48" s="25">
        <f>IF(Design!$H$11="x",C48,0)</f>
        <v>38.029786001071884</v>
      </c>
      <c r="G48" s="25">
        <f>IF(Design!$H$11="x",D48,0)</f>
        <v>29.012946596280582</v>
      </c>
      <c r="H48" s="24"/>
      <c r="I48" s="23"/>
      <c r="J48" s="23"/>
      <c r="K48" s="23"/>
      <c r="L48" s="23">
        <f>IF(C49=C48,0,(D49-D48)/(C49-C48))</f>
        <v>7.7363846644292451</v>
      </c>
      <c r="M48" s="26">
        <f>IF(L48=0,0,D48-L48*C48)</f>
        <v>-265.20010661393792</v>
      </c>
      <c r="N48" s="9"/>
      <c r="O48" s="9"/>
    </row>
    <row r="49" spans="1:15" x14ac:dyDescent="0.2">
      <c r="A49" s="27"/>
      <c r="B49" s="28"/>
      <c r="C49" s="31">
        <f>C48+Design!$F$55*T8</f>
        <v>43.074485485083265</v>
      </c>
      <c r="D49" s="31">
        <f>D48+Design!$F$55*U8</f>
        <v>68.040682321040364</v>
      </c>
      <c r="E49" s="28"/>
      <c r="F49" s="31">
        <f>IF(Design!$H$11="x",C49,0)</f>
        <v>43.074485485083265</v>
      </c>
      <c r="G49" s="31">
        <f>IF(Design!$H$11="x",D49,0)</f>
        <v>68.040682321040364</v>
      </c>
      <c r="H49" s="30"/>
      <c r="I49" s="29">
        <f t="shared" ref="I49:I52" si="7">C48-C49</f>
        <v>-5.0446994840113817</v>
      </c>
      <c r="J49" s="29">
        <f t="shared" ref="J49:J52" si="8">D48-D49</f>
        <v>-39.027735724759779</v>
      </c>
      <c r="K49" s="29">
        <f>(I49^2+J49^2)^0.5</f>
        <v>39.352422399207846</v>
      </c>
      <c r="L49" s="29">
        <f>IF(C50=C49,0,(D50-D49)/(C50-C49))</f>
        <v>-0.12925934313967416</v>
      </c>
      <c r="M49" s="32">
        <f>IF(L49=0,0,D49-L49*C49)</f>
        <v>73.60846202092165</v>
      </c>
    </row>
    <row r="50" spans="1:15" x14ac:dyDescent="0.2">
      <c r="A50" s="27"/>
      <c r="B50" s="28"/>
      <c r="C50" s="31">
        <f>C49-Design!$D$55*S8</f>
        <v>41.190161894408035</v>
      </c>
      <c r="D50" s="31">
        <f>D49+Design!$D$55*T8</f>
        <v>68.284248750633637</v>
      </c>
      <c r="E50" s="28"/>
      <c r="F50" s="31">
        <f>IF(Design!$H$11="x",C50,0)</f>
        <v>41.190161894408035</v>
      </c>
      <c r="G50" s="31">
        <f>IF(Design!$H$11="x",D50,0)</f>
        <v>68.284248750633637</v>
      </c>
      <c r="H50" s="30"/>
      <c r="I50" s="29">
        <f t="shared" si="7"/>
        <v>1.8843235906752298</v>
      </c>
      <c r="J50" s="29">
        <f t="shared" si="8"/>
        <v>-0.24356642959327246</v>
      </c>
      <c r="K50" s="29">
        <f>(I50^2+J50^2)^0.5</f>
        <v>1.9000000000000015</v>
      </c>
      <c r="L50" s="29">
        <f>IF(C51=C50,0,(D51-D50)/(C51-C50))</f>
        <v>7.7363846644292469</v>
      </c>
      <c r="M50" s="32">
        <f>IF(L50=0,0,D50-L50*C50)</f>
        <v>-250.37868805462261</v>
      </c>
    </row>
    <row r="51" spans="1:15" x14ac:dyDescent="0.2">
      <c r="A51" s="27"/>
      <c r="B51" s="28"/>
      <c r="C51" s="31">
        <f>C50-Design!$F$55*T8</f>
        <v>36.145462410396654</v>
      </c>
      <c r="D51" s="31">
        <f>D50-Design!$F$55*U8</f>
        <v>29.256513025873851</v>
      </c>
      <c r="E51" s="28"/>
      <c r="F51" s="31">
        <f>IF(Design!$H$11="x",C51,0)</f>
        <v>36.145462410396654</v>
      </c>
      <c r="G51" s="31">
        <f>IF(Design!$H$11="x",D51,0)</f>
        <v>29.256513025873851</v>
      </c>
      <c r="H51" s="30"/>
      <c r="I51" s="29">
        <f t="shared" si="7"/>
        <v>5.0446994840113817</v>
      </c>
      <c r="J51" s="29">
        <f t="shared" si="8"/>
        <v>39.027735724759786</v>
      </c>
      <c r="K51" s="29">
        <f>(I51^2+J51^2)^0.5</f>
        <v>39.352422399207853</v>
      </c>
      <c r="L51" s="29">
        <f>IF(C52=C51,0,(D52-D51)/(C52-C51))</f>
        <v>-0.12925934313967227</v>
      </c>
      <c r="M51" s="32">
        <f>IF(L51=0,0,D51-L51*C51)</f>
        <v>33.928651754521439</v>
      </c>
    </row>
    <row r="52" spans="1:15" x14ac:dyDescent="0.2">
      <c r="A52" s="33"/>
      <c r="B52" s="34"/>
      <c r="C52" s="36">
        <f>C48</f>
        <v>38.029786001071884</v>
      </c>
      <c r="D52" s="36">
        <f>D48</f>
        <v>29.012946596280582</v>
      </c>
      <c r="E52" s="34"/>
      <c r="F52" s="36">
        <f>IF(Design!$H$11="x",C52,0)</f>
        <v>38.029786001071884</v>
      </c>
      <c r="G52" s="36">
        <f>IF(Design!$H$11="x",D52,0)</f>
        <v>29.012946596280582</v>
      </c>
      <c r="H52" s="34"/>
      <c r="I52" s="37">
        <f t="shared" si="7"/>
        <v>-1.8843235906752298</v>
      </c>
      <c r="J52" s="37">
        <f t="shared" si="8"/>
        <v>0.24356642959326891</v>
      </c>
      <c r="K52" s="37">
        <f>(I52^2+J52^2)^0.5</f>
        <v>1.900000000000001</v>
      </c>
      <c r="L52" s="35"/>
      <c r="M52" s="106"/>
    </row>
    <row r="53" spans="1:15" x14ac:dyDescent="0.2">
      <c r="C53" s="103"/>
      <c r="D53" s="103"/>
    </row>
    <row r="54" spans="1:15" x14ac:dyDescent="0.2">
      <c r="A54" s="21" t="s">
        <v>32</v>
      </c>
      <c r="B54" s="22"/>
      <c r="C54" s="25">
        <f>C49</f>
        <v>43.074485485083265</v>
      </c>
      <c r="D54" s="25">
        <f>D50</f>
        <v>68.284248750633637</v>
      </c>
      <c r="E54" s="24"/>
      <c r="F54" s="25">
        <f>IF(Design!$H$12="x",C54,0)</f>
        <v>43.074485485083265</v>
      </c>
      <c r="G54" s="25">
        <f>IF(Design!$H$12="x",D54,0)</f>
        <v>68.284248750633637</v>
      </c>
      <c r="H54" s="24"/>
      <c r="I54" s="23"/>
      <c r="J54" s="23"/>
      <c r="K54" s="23"/>
      <c r="L54" s="23">
        <f>IF(C55=C54,D55-D54,(D55-D54)/(C55-C54))</f>
        <v>-4.7560500767466228E-2</v>
      </c>
      <c r="M54" s="26">
        <f>IF(L54=0,0,D54-L54*C54)</f>
        <v>70.332892850605148</v>
      </c>
    </row>
    <row r="55" spans="1:15" x14ac:dyDescent="0.2">
      <c r="A55" s="27"/>
      <c r="B55" s="28"/>
      <c r="C55" s="31">
        <f>C54+Design!F57*S5</f>
        <v>106.68201586430816</v>
      </c>
      <c r="D55" s="31">
        <f>D54-Design!F57*T5</f>
        <v>65.25904275321588</v>
      </c>
      <c r="E55" s="28"/>
      <c r="F55" s="31">
        <f>IF(Design!$H$12="x",C55,0)</f>
        <v>106.68201586430816</v>
      </c>
      <c r="G55" s="31">
        <f>IF(Design!$H$12="x",D55,0)</f>
        <v>65.25904275321588</v>
      </c>
      <c r="H55" s="30"/>
      <c r="I55" s="29">
        <f t="shared" ref="I55:J58" si="9">C54-C55</f>
        <v>-63.60753037922489</v>
      </c>
      <c r="J55" s="29">
        <f t="shared" si="9"/>
        <v>3.025205997417757</v>
      </c>
      <c r="K55" s="29">
        <f>(I55^2+J55^2)^0.5</f>
        <v>63.679429899072034</v>
      </c>
      <c r="L55" s="29">
        <f>IF(C56=C55,0,(D56-D55)/(C56-C55))</f>
        <v>21.025850944868694</v>
      </c>
      <c r="M55" s="32">
        <f>IF(L55=0,0,D55-L55*C55)</f>
        <v>-2177.8211213078448</v>
      </c>
    </row>
    <row r="56" spans="1:15" x14ac:dyDescent="0.2">
      <c r="A56" s="27"/>
      <c r="B56" s="28"/>
      <c r="C56" s="31">
        <f>C55-Design!D57*T5</f>
        <v>106.59175294260481</v>
      </c>
      <c r="D56" s="31">
        <f>D55-Design!D57*S5</f>
        <v>63.361188015633054</v>
      </c>
      <c r="E56" s="28"/>
      <c r="F56" s="31">
        <f>IF(Design!$H$12="x",C56,0)</f>
        <v>106.59175294260481</v>
      </c>
      <c r="G56" s="31">
        <f>IF(Design!$H$12="x",D56,0)</f>
        <v>63.361188015633054</v>
      </c>
      <c r="H56" s="30"/>
      <c r="I56" s="29">
        <f t="shared" si="9"/>
        <v>9.0262921703342158E-2</v>
      </c>
      <c r="J56" s="29">
        <f t="shared" si="9"/>
        <v>1.8978547375828256</v>
      </c>
      <c r="K56" s="29">
        <f>(I56^2+J56^2)^0.5</f>
        <v>1.9</v>
      </c>
      <c r="L56" s="29">
        <f>IF(C57=C56,0,(D57-D56)/(C57-C56))</f>
        <v>-4.7560500767466339E-2</v>
      </c>
      <c r="M56" s="32">
        <f>IF(L56=0,0,D56-L56*C56)</f>
        <v>68.430745163265399</v>
      </c>
    </row>
    <row r="57" spans="1:15" x14ac:dyDescent="0.2">
      <c r="A57" s="27"/>
      <c r="B57" s="28"/>
      <c r="C57" s="31">
        <f>C56-Design!F57*S5</f>
        <v>42.984222563379923</v>
      </c>
      <c r="D57" s="31">
        <f>D56+Design!F57*T5</f>
        <v>66.386394013050818</v>
      </c>
      <c r="E57" s="28"/>
      <c r="F57" s="31">
        <f>IF(Design!$H$12="x",C57,0)</f>
        <v>42.984222563379923</v>
      </c>
      <c r="G57" s="31">
        <f>IF(Design!$H$12="x",D57,0)</f>
        <v>66.386394013050818</v>
      </c>
      <c r="H57" s="30"/>
      <c r="I57" s="29">
        <f t="shared" si="9"/>
        <v>63.60753037922489</v>
      </c>
      <c r="J57" s="29">
        <f t="shared" si="9"/>
        <v>-3.0252059974177641</v>
      </c>
      <c r="K57" s="29">
        <f>(I57^2+J57^2)^0.5</f>
        <v>63.679429899072034</v>
      </c>
      <c r="L57" s="29">
        <f>IF(C58=C57,0,(D58-D57)/(C58-C57))</f>
        <v>21.025850944868615</v>
      </c>
      <c r="M57" s="32">
        <f>IF(L57=0,0,D57-L57*C57)</f>
        <v>-837.39346258563387</v>
      </c>
    </row>
    <row r="58" spans="1:15" x14ac:dyDescent="0.2">
      <c r="A58" s="33"/>
      <c r="B58" s="34"/>
      <c r="C58" s="36">
        <f>C54</f>
        <v>43.074485485083265</v>
      </c>
      <c r="D58" s="36">
        <f>D54</f>
        <v>68.284248750633637</v>
      </c>
      <c r="E58" s="34"/>
      <c r="F58" s="36">
        <f>IF(Design!$H$12="x",C58,0)</f>
        <v>43.074485485083265</v>
      </c>
      <c r="G58" s="36">
        <f>IF(Design!$H$12="x",D58,0)</f>
        <v>68.284248750633637</v>
      </c>
      <c r="H58" s="34"/>
      <c r="I58" s="37">
        <f t="shared" si="9"/>
        <v>-9.0262921703342158E-2</v>
      </c>
      <c r="J58" s="37">
        <f t="shared" si="9"/>
        <v>-1.8978547375828185</v>
      </c>
      <c r="K58" s="37">
        <f>(I58^2+J58^2)^0.5</f>
        <v>1.8999999999999928</v>
      </c>
      <c r="L58" s="35"/>
      <c r="M58" s="106"/>
    </row>
    <row r="59" spans="1:15" x14ac:dyDescent="0.2">
      <c r="C59" s="103"/>
      <c r="D59" s="103"/>
    </row>
    <row r="60" spans="1:15" x14ac:dyDescent="0.2">
      <c r="A60" s="21" t="s">
        <v>33</v>
      </c>
      <c r="B60" s="22"/>
      <c r="C60" s="25">
        <f>C68</f>
        <v>90.611643312677913</v>
      </c>
      <c r="D60" s="25">
        <f>D68</f>
        <v>46.329287296147569</v>
      </c>
      <c r="E60" s="24"/>
      <c r="F60" s="25">
        <f>IF(Design!$H$13="x",C60,0)</f>
        <v>90.611643312677913</v>
      </c>
      <c r="G60" s="25">
        <f>IF(Design!$H$13="x",D60,0)</f>
        <v>46.329287296147569</v>
      </c>
      <c r="H60" s="24"/>
      <c r="I60" s="23"/>
      <c r="J60" s="23"/>
      <c r="K60" s="23"/>
      <c r="L60" s="23">
        <f>IF(C61=C60,0,(D61-D60)/(C61-C60))</f>
        <v>0</v>
      </c>
      <c r="M60" s="26">
        <f>IF(L60=0,0,D60-L60*C60)</f>
        <v>0</v>
      </c>
      <c r="N60" s="9"/>
      <c r="O60" s="9"/>
    </row>
    <row r="61" spans="1:15" x14ac:dyDescent="0.2">
      <c r="A61" s="27"/>
      <c r="B61" s="28"/>
      <c r="C61" s="31">
        <f>C60-Design!F58</f>
        <v>58.709464221163657</v>
      </c>
      <c r="D61" s="31">
        <f>D60</f>
        <v>46.329287296147569</v>
      </c>
      <c r="E61" s="30"/>
      <c r="F61" s="31">
        <f>IF(Design!$H$13="x",C61,0)</f>
        <v>58.709464221163657</v>
      </c>
      <c r="G61" s="31">
        <f>IF(Design!$H$13="x",D61,0)</f>
        <v>46.329287296147569</v>
      </c>
      <c r="H61" s="30"/>
      <c r="I61" s="29">
        <f t="shared" ref="I61:J64" si="10">C60-C61</f>
        <v>31.902179091514256</v>
      </c>
      <c r="J61" s="29">
        <f t="shared" si="10"/>
        <v>0</v>
      </c>
      <c r="K61" s="29">
        <f>(I61^2+J61^2)^0.5</f>
        <v>31.902179091514256</v>
      </c>
      <c r="L61" s="29">
        <f>IF(C62=C61,0,(D62-D61)/(C62-C61))</f>
        <v>0</v>
      </c>
      <c r="M61" s="32">
        <f>IF(L61=0,0,D61-L61*C61)</f>
        <v>0</v>
      </c>
    </row>
    <row r="62" spans="1:15" x14ac:dyDescent="0.2">
      <c r="A62" s="27"/>
      <c r="B62" s="28"/>
      <c r="C62" s="31">
        <f>C61</f>
        <v>58.709464221163657</v>
      </c>
      <c r="D62" s="31">
        <f>D61+Design!D58</f>
        <v>48.229287296147568</v>
      </c>
      <c r="E62" s="30"/>
      <c r="F62" s="31">
        <f>IF(Design!$H$13="x",C62,0)</f>
        <v>58.709464221163657</v>
      </c>
      <c r="G62" s="31">
        <f>IF(Design!$H$13="x",D62,0)</f>
        <v>48.229287296147568</v>
      </c>
      <c r="H62" s="30"/>
      <c r="I62" s="29">
        <f t="shared" si="10"/>
        <v>0</v>
      </c>
      <c r="J62" s="29">
        <f t="shared" si="10"/>
        <v>-1.8999999999999986</v>
      </c>
      <c r="K62" s="29">
        <f>(I62^2+J62^2)^0.5</f>
        <v>1.8999999999999986</v>
      </c>
      <c r="L62" s="29">
        <f>IF(C63=C62,0,(D63-D62)/(C63-C62))</f>
        <v>0</v>
      </c>
      <c r="M62" s="32">
        <f>IF(L62=0,0,D62-L62*C62)</f>
        <v>0</v>
      </c>
    </row>
    <row r="63" spans="1:15" x14ac:dyDescent="0.2">
      <c r="A63" s="27"/>
      <c r="B63" s="28"/>
      <c r="C63" s="31">
        <f>C60</f>
        <v>90.611643312677913</v>
      </c>
      <c r="D63" s="31">
        <f>D62</f>
        <v>48.229287296147568</v>
      </c>
      <c r="E63" s="30"/>
      <c r="F63" s="31">
        <f>IF(Design!$H$13="x",C63,0)</f>
        <v>90.611643312677913</v>
      </c>
      <c r="G63" s="31">
        <f>IF(Design!$H$13="x",D63,0)</f>
        <v>48.229287296147568</v>
      </c>
      <c r="H63" s="30"/>
      <c r="I63" s="29">
        <f t="shared" si="10"/>
        <v>-31.902179091514256</v>
      </c>
      <c r="J63" s="29">
        <f t="shared" si="10"/>
        <v>0</v>
      </c>
      <c r="K63" s="29">
        <f>(I63^2+J63^2)^0.5</f>
        <v>31.902179091514256</v>
      </c>
      <c r="L63" s="29">
        <f>IF(C64=C63,0,(D64-D63)/(C64-C63))</f>
        <v>0</v>
      </c>
      <c r="M63" s="32">
        <f>IF(L63=0,0,D63-L63*C63)</f>
        <v>0</v>
      </c>
    </row>
    <row r="64" spans="1:15" x14ac:dyDescent="0.2">
      <c r="A64" s="33"/>
      <c r="B64" s="34"/>
      <c r="C64" s="36">
        <f>C60</f>
        <v>90.611643312677913</v>
      </c>
      <c r="D64" s="36">
        <f>D60</f>
        <v>46.329287296147569</v>
      </c>
      <c r="E64" s="34"/>
      <c r="F64" s="36">
        <f>IF(Design!$H$13="x",C64,0)</f>
        <v>90.611643312677913</v>
      </c>
      <c r="G64" s="36">
        <f>IF(Design!$H$13="x",D64,0)</f>
        <v>46.329287296147569</v>
      </c>
      <c r="H64" s="34"/>
      <c r="I64" s="37">
        <f t="shared" si="10"/>
        <v>0</v>
      </c>
      <c r="J64" s="37">
        <f t="shared" si="10"/>
        <v>1.8999999999999986</v>
      </c>
      <c r="K64" s="37">
        <f>(I64^2+J64^2)^0.5</f>
        <v>1.8999999999999986</v>
      </c>
      <c r="L64" s="35"/>
      <c r="M64" s="106"/>
    </row>
    <row r="66" spans="1:26" x14ac:dyDescent="0.2">
      <c r="A66" s="21" t="s">
        <v>178</v>
      </c>
      <c r="B66" s="22"/>
      <c r="C66" s="25">
        <f>C14+Design!F60</f>
        <v>88.711643312677907</v>
      </c>
      <c r="D66" s="25">
        <f>D24</f>
        <v>1.9</v>
      </c>
      <c r="E66" s="24"/>
      <c r="F66" s="25">
        <f>IF(Design!$H$14="x",C66,0)</f>
        <v>88.711643312677907</v>
      </c>
      <c r="G66" s="25">
        <f>IF(Design!$H$14="x",D66,0)</f>
        <v>1.9</v>
      </c>
      <c r="H66" s="24"/>
      <c r="I66" s="23"/>
      <c r="J66" s="23"/>
      <c r="K66" s="23"/>
      <c r="L66" s="23">
        <f>IF(C67=C66,0,(D67-D66)/(C67-C66))</f>
        <v>0</v>
      </c>
      <c r="M66" s="26">
        <f>IF(L66=0,0,D66-L66*C66)</f>
        <v>0</v>
      </c>
      <c r="N66" s="5"/>
      <c r="O66" s="5"/>
    </row>
    <row r="67" spans="1:26" x14ac:dyDescent="0.2">
      <c r="A67" s="27"/>
      <c r="B67" s="28"/>
      <c r="C67" s="31">
        <f>C66</f>
        <v>88.711643312677907</v>
      </c>
      <c r="D67" s="31">
        <f>D66+Design!F59</f>
        <v>46.329287296147569</v>
      </c>
      <c r="E67" s="30"/>
      <c r="F67" s="31">
        <f>IF(Design!$H$14="x",C67,0)</f>
        <v>88.711643312677907</v>
      </c>
      <c r="G67" s="31">
        <f>IF(Design!$H$14="x",D67,0)</f>
        <v>46.329287296147569</v>
      </c>
      <c r="H67" s="30"/>
      <c r="I67" s="29">
        <f t="shared" ref="I67:I70" si="11">C66-C67</f>
        <v>0</v>
      </c>
      <c r="J67" s="29">
        <f t="shared" ref="J67:J70" si="12">D66-D67</f>
        <v>-44.429287296147571</v>
      </c>
      <c r="K67" s="29">
        <f>(I67^2+J67^2)^0.5</f>
        <v>44.429287296147571</v>
      </c>
      <c r="L67" s="29">
        <f>IF(C68=C67,0,(D68-D67)/(C68-C67))</f>
        <v>0</v>
      </c>
      <c r="M67" s="32">
        <f>IF(L67=0,0,D67-L67*C67)</f>
        <v>0</v>
      </c>
    </row>
    <row r="68" spans="1:26" x14ac:dyDescent="0.2">
      <c r="A68" s="27"/>
      <c r="B68" s="28"/>
      <c r="C68" s="31">
        <f>C67+Design!D59</f>
        <v>90.611643312677913</v>
      </c>
      <c r="D68" s="31">
        <f>D67+Design!D64</f>
        <v>46.329287296147569</v>
      </c>
      <c r="E68" s="30"/>
      <c r="F68" s="31">
        <f>IF(Design!$H$14="x",C68,0)</f>
        <v>90.611643312677913</v>
      </c>
      <c r="G68" s="31">
        <f>IF(Design!$H$14="x",D68,0)</f>
        <v>46.329287296147569</v>
      </c>
      <c r="H68" s="30"/>
      <c r="I68" s="29">
        <f t="shared" si="11"/>
        <v>-1.9000000000000057</v>
      </c>
      <c r="J68" s="29">
        <f t="shared" si="12"/>
        <v>0</v>
      </c>
      <c r="K68" s="29">
        <f>(I68^2+J68^2)^0.5</f>
        <v>1.9000000000000057</v>
      </c>
      <c r="L68" s="29">
        <f>IF(C69=C68,0,(D69-D68)/(C69-C68))</f>
        <v>0</v>
      </c>
      <c r="M68" s="32">
        <f>IF(L68=0,0,D68-L68*C68)</f>
        <v>0</v>
      </c>
    </row>
    <row r="69" spans="1:26" x14ac:dyDescent="0.2">
      <c r="A69" s="27"/>
      <c r="B69" s="28"/>
      <c r="C69" s="31">
        <f>C68</f>
        <v>90.611643312677913</v>
      </c>
      <c r="D69" s="31">
        <f>D66</f>
        <v>1.9</v>
      </c>
      <c r="E69" s="30"/>
      <c r="F69" s="31">
        <f>IF(Design!$H$14="x",C69,0)</f>
        <v>90.611643312677913</v>
      </c>
      <c r="G69" s="31">
        <f>IF(Design!$H$14="x",D69,0)</f>
        <v>1.9</v>
      </c>
      <c r="H69" s="30"/>
      <c r="I69" s="29">
        <f t="shared" si="11"/>
        <v>0</v>
      </c>
      <c r="J69" s="29">
        <f t="shared" si="12"/>
        <v>44.429287296147571</v>
      </c>
      <c r="K69" s="29">
        <f>(I69^2+J69^2)^0.5</f>
        <v>44.429287296147571</v>
      </c>
      <c r="L69" s="29">
        <f>IF(C70=C69,0,(D70-D69)/(C70-C69))</f>
        <v>0</v>
      </c>
      <c r="M69" s="32">
        <f>IF(L69=0,0,D69-L69*C69)</f>
        <v>0</v>
      </c>
    </row>
    <row r="70" spans="1:26" x14ac:dyDescent="0.2">
      <c r="A70" s="33"/>
      <c r="B70" s="34"/>
      <c r="C70" s="36">
        <f>C66</f>
        <v>88.711643312677907</v>
      </c>
      <c r="D70" s="36">
        <f>D66</f>
        <v>1.9</v>
      </c>
      <c r="E70" s="34"/>
      <c r="F70" s="36">
        <f>IF(Design!$H$14="x",C70,0)</f>
        <v>88.711643312677907</v>
      </c>
      <c r="G70" s="36">
        <f>IF(Design!$H$14="x",D70,0)</f>
        <v>1.9</v>
      </c>
      <c r="H70" s="34"/>
      <c r="I70" s="37">
        <f t="shared" si="11"/>
        <v>1.9000000000000057</v>
      </c>
      <c r="J70" s="37">
        <f t="shared" si="12"/>
        <v>0</v>
      </c>
      <c r="K70" s="37">
        <f>(I70^2+J70^2)^0.5</f>
        <v>1.9000000000000057</v>
      </c>
      <c r="L70" s="35"/>
      <c r="M70" s="106"/>
    </row>
    <row r="72" spans="1:26" x14ac:dyDescent="0.2">
      <c r="A72" s="21" t="s">
        <v>179</v>
      </c>
      <c r="B72" s="22"/>
      <c r="C72" s="25">
        <f>C55</f>
        <v>106.68201586430816</v>
      </c>
      <c r="D72" s="25">
        <f>D55</f>
        <v>65.25904275321588</v>
      </c>
      <c r="E72" s="24"/>
      <c r="F72" s="25">
        <f>IF(Design!$H$15="x",C72,0)</f>
        <v>106.68201586430816</v>
      </c>
      <c r="G72" s="25">
        <f>IF(Design!$H$15="x",D72,0)</f>
        <v>65.25904275321588</v>
      </c>
      <c r="H72" s="24"/>
      <c r="I72" s="23"/>
      <c r="J72" s="23"/>
      <c r="K72" s="23"/>
      <c r="L72" s="23">
        <f>IF(C73=C72,0,(D73-D72)/(C73-C72))</f>
        <v>21.025850944867518</v>
      </c>
      <c r="M72" s="26">
        <f>IF(L72=0,0,D72-L72*C72)</f>
        <v>-2177.8211213077193</v>
      </c>
      <c r="N72" s="9"/>
      <c r="O72" s="9"/>
    </row>
    <row r="73" spans="1:26" x14ac:dyDescent="0.2">
      <c r="A73" s="27"/>
      <c r="B73" s="28"/>
      <c r="C73" s="31">
        <f>C72-Design!F61*T5</f>
        <v>104.29487390892749</v>
      </c>
      <c r="D73" s="31">
        <f>D72-Design!F61*U5</f>
        <v>15.067351815142317</v>
      </c>
      <c r="E73" s="30"/>
      <c r="F73" s="31">
        <f>IF(Design!$H$15="x",C73,0)</f>
        <v>104.29487390892749</v>
      </c>
      <c r="G73" s="31">
        <f>IF(Design!$H$15="x",D73,0)</f>
        <v>15.067351815142317</v>
      </c>
      <c r="H73" s="30"/>
      <c r="I73" s="29">
        <f t="shared" ref="I73:I76" si="13">C72-C73</f>
        <v>2.3871419553806703</v>
      </c>
      <c r="J73" s="29">
        <f t="shared" ref="J73:J76" si="14">D72-D73</f>
        <v>50.191690938073563</v>
      </c>
      <c r="K73" s="29">
        <f>(I73^2+J73^2)^0.5</f>
        <v>50.248425706067991</v>
      </c>
      <c r="L73" s="29">
        <f>IF(C74=C73,0,(D74-D73)/(C74-C73))</f>
        <v>-4.7560500767466457E-2</v>
      </c>
      <c r="M73" s="32">
        <f>IF(L73=0,0,D73-L73*C73)</f>
        <v>20.02766824573068</v>
      </c>
    </row>
    <row r="74" spans="1:26" x14ac:dyDescent="0.2">
      <c r="A74" s="27"/>
      <c r="B74" s="28"/>
      <c r="C74" s="31">
        <f>C73+Design!D61*S5</f>
        <v>106.1927286465103</v>
      </c>
      <c r="D74" s="31">
        <f>D73-Design!D61*T5</f>
        <v>14.977088893438969</v>
      </c>
      <c r="E74" s="30"/>
      <c r="F74" s="31">
        <f>IF(Design!$H$15="x",C74,0)</f>
        <v>106.1927286465103</v>
      </c>
      <c r="G74" s="31">
        <f>IF(Design!$H$15="x",D74,0)</f>
        <v>14.977088893438969</v>
      </c>
      <c r="H74" s="30"/>
      <c r="I74" s="29">
        <f t="shared" si="13"/>
        <v>-1.8978547375828185</v>
      </c>
      <c r="J74" s="29">
        <f t="shared" si="14"/>
        <v>9.0262921703347487E-2</v>
      </c>
      <c r="K74" s="29">
        <f>(I74^2+J74^2)^0.5</f>
        <v>1.899999999999993</v>
      </c>
      <c r="L74" s="29">
        <f>IF(C75=C74,0,(D75-D74)/(C75-C74))</f>
        <v>21.025850944867521</v>
      </c>
      <c r="M74" s="32">
        <f>IF(L74=0,0,D74-L74*C74)</f>
        <v>-2217.8153950568499</v>
      </c>
    </row>
    <row r="75" spans="1:26" x14ac:dyDescent="0.2">
      <c r="A75" s="27"/>
      <c r="B75" s="28"/>
      <c r="C75" s="31">
        <f>C74+Design!$F$61*T5</f>
        <v>108.57987060189097</v>
      </c>
      <c r="D75" s="31">
        <f>D74+Design!$F$61*U5</f>
        <v>65.168779831512538</v>
      </c>
      <c r="E75" s="30"/>
      <c r="F75" s="31">
        <f>IF(Design!$H$15="x",C75,0)</f>
        <v>108.57987060189097</v>
      </c>
      <c r="G75" s="31">
        <f>IF(Design!$H$15="x",D75,0)</f>
        <v>65.168779831512538</v>
      </c>
      <c r="H75" s="30"/>
      <c r="I75" s="29">
        <f t="shared" si="13"/>
        <v>-2.3871419553806703</v>
      </c>
      <c r="J75" s="29">
        <f t="shared" si="14"/>
        <v>-50.19169093807357</v>
      </c>
      <c r="K75" s="29">
        <f>(I75^2+J75^2)^0.5</f>
        <v>50.248425706067998</v>
      </c>
      <c r="L75" s="29">
        <f>IF(C76=C75,0,(D76-D75)/(C76-C75))</f>
        <v>-4.7560500767463647E-2</v>
      </c>
      <c r="M75" s="32">
        <f>IF(L75=0,0,D75-L75*C75)</f>
        <v>70.332892850604878</v>
      </c>
    </row>
    <row r="76" spans="1:26" x14ac:dyDescent="0.2">
      <c r="A76" s="33"/>
      <c r="B76" s="34"/>
      <c r="C76" s="36">
        <f>C72</f>
        <v>106.68201586430816</v>
      </c>
      <c r="D76" s="36">
        <f>D72</f>
        <v>65.25904275321588</v>
      </c>
      <c r="E76" s="34"/>
      <c r="F76" s="36">
        <f>IF(Design!$H$15="x",C76,0)</f>
        <v>106.68201586430816</v>
      </c>
      <c r="G76" s="36">
        <f>IF(Design!$H$15="x",D76,0)</f>
        <v>65.25904275321588</v>
      </c>
      <c r="H76" s="34"/>
      <c r="I76" s="37">
        <f t="shared" si="13"/>
        <v>1.8978547375828185</v>
      </c>
      <c r="J76" s="37">
        <f t="shared" si="14"/>
        <v>-9.0262921703342158E-2</v>
      </c>
      <c r="K76" s="37">
        <f>(I76^2+J76^2)^0.5</f>
        <v>1.8999999999999928</v>
      </c>
      <c r="L76" s="35"/>
      <c r="M76" s="106"/>
    </row>
    <row r="78" spans="1:26" x14ac:dyDescent="0.2">
      <c r="N78" s="9"/>
      <c r="O78" s="9"/>
    </row>
    <row r="79" spans="1:26" x14ac:dyDescent="0.2">
      <c r="S79" s="103" t="s">
        <v>5</v>
      </c>
      <c r="T79" s="103" t="s">
        <v>6</v>
      </c>
      <c r="U79" s="103"/>
      <c r="V79" s="103" t="s">
        <v>7</v>
      </c>
      <c r="W79" s="103" t="s">
        <v>8</v>
      </c>
      <c r="X79" s="103" t="s">
        <v>19</v>
      </c>
      <c r="Y79" s="103" t="s">
        <v>28</v>
      </c>
      <c r="Z79" s="103"/>
    </row>
    <row r="80" spans="1:26" x14ac:dyDescent="0.2">
      <c r="S80" s="42">
        <f>Panels!C37</f>
        <v>29.81285537892925</v>
      </c>
      <c r="T80" s="42">
        <f>Panels!D37</f>
        <v>29.68015853775065</v>
      </c>
      <c r="U80" s="42"/>
      <c r="V80" s="103"/>
      <c r="W80" s="103"/>
      <c r="X80" s="103"/>
      <c r="Y80" s="103"/>
      <c r="Z80" s="103"/>
    </row>
    <row r="81" spans="14:26" x14ac:dyDescent="0.2">
      <c r="S81" s="42">
        <f>Panels!C36</f>
        <v>33.654298627389551</v>
      </c>
      <c r="T81" s="42">
        <f>Panels!D36</f>
        <v>76.98877323662677</v>
      </c>
      <c r="U81" s="42"/>
      <c r="V81" s="42">
        <f>S80-S81</f>
        <v>-3.8414432484603012</v>
      </c>
      <c r="W81" s="42">
        <f>T80-T81</f>
        <v>-47.30861469887612</v>
      </c>
      <c r="X81" s="42">
        <f>(V81^2+W81^2)^0.5</f>
        <v>47.46432039919943</v>
      </c>
      <c r="Y81" s="85">
        <f>W81/V81</f>
        <v>12.31532308015692</v>
      </c>
      <c r="Z81" s="85"/>
    </row>
    <row r="82" spans="14:26" x14ac:dyDescent="0.2">
      <c r="S82" s="42"/>
      <c r="T82" s="42"/>
      <c r="U82" s="42"/>
      <c r="V82" s="103"/>
      <c r="W82" s="103"/>
      <c r="X82" s="103"/>
      <c r="Y82" s="103"/>
      <c r="Z82" s="103"/>
    </row>
    <row r="83" spans="14:26" x14ac:dyDescent="0.2">
      <c r="S83" s="85">
        <f>IF(Design!$H$22="x",Design!$D$65*SIN(ATAN($Y$81)),0)</f>
        <v>0</v>
      </c>
      <c r="T83" s="42">
        <f>IF(Design!$H$22="x",Design!$D$65*COS(ATAN($Y$81)),0)</f>
        <v>0</v>
      </c>
      <c r="U83" s="42"/>
      <c r="V83" s="103"/>
      <c r="W83" s="103"/>
      <c r="X83" s="42"/>
      <c r="Y83" s="103"/>
      <c r="Z83" s="103"/>
    </row>
    <row r="84" spans="14:26" x14ac:dyDescent="0.2">
      <c r="N84" s="5"/>
      <c r="O84" s="5"/>
      <c r="Q84" s="9" t="s">
        <v>21</v>
      </c>
      <c r="S84" s="103"/>
      <c r="T84" s="103"/>
      <c r="U84" s="103"/>
      <c r="V84" s="103"/>
      <c r="W84" s="103"/>
      <c r="X84" s="42"/>
      <c r="Y84" s="103"/>
      <c r="Z84" s="103"/>
    </row>
    <row r="85" spans="14:26" x14ac:dyDescent="0.2">
      <c r="Q85" s="9"/>
      <c r="S85" s="103"/>
      <c r="T85" s="103"/>
      <c r="U85" s="103"/>
      <c r="V85" s="103"/>
      <c r="W85" s="103"/>
      <c r="X85" s="42"/>
      <c r="Y85" s="103"/>
      <c r="Z85" s="103"/>
    </row>
    <row r="86" spans="14:26" x14ac:dyDescent="0.2">
      <c r="Q86" s="12" t="s">
        <v>52</v>
      </c>
      <c r="R86" s="12" t="str">
        <f>Design!$H$20</f>
        <v>x</v>
      </c>
      <c r="S86" s="42">
        <f>S87+(Design!$D$4*COS(ATAN($Y$81)))/2+S83</f>
        <v>32.807386829029362</v>
      </c>
      <c r="T86" s="42">
        <f>T87+(Design!$D$4*SIN(ATAN($Y$81)))/2</f>
        <v>66.558780819424356</v>
      </c>
      <c r="U86" s="42"/>
      <c r="V86" s="42">
        <f t="shared" ref="V86:V91" si="15">IF(R86="x",S86,0)</f>
        <v>32.807386829029362</v>
      </c>
      <c r="W86" s="42">
        <f t="shared" ref="W86:W91" si="16">IF(R86="x",T86,0)</f>
        <v>66.558780819424356</v>
      </c>
      <c r="X86" s="42"/>
      <c r="Y86" s="103"/>
      <c r="Z86" s="103"/>
    </row>
    <row r="87" spans="14:26" x14ac:dyDescent="0.2">
      <c r="R87" s="12" t="str">
        <f>Design!$H$20</f>
        <v>x</v>
      </c>
      <c r="S87" s="42">
        <f>S80+(Design!D17/Panels!S8)-V81*Design!D18/X81-S83</f>
        <v>31.269654462761739</v>
      </c>
      <c r="T87" s="42">
        <f>T80-(W81*Design!D18/X81)-T83</f>
        <v>47.621109918024345</v>
      </c>
      <c r="U87" s="42"/>
      <c r="V87" s="42">
        <f t="shared" si="15"/>
        <v>31.269654462761739</v>
      </c>
      <c r="W87" s="42">
        <f t="shared" si="16"/>
        <v>47.621109918024345</v>
      </c>
      <c r="X87" s="42"/>
      <c r="Y87" s="103"/>
      <c r="Z87" s="103"/>
    </row>
    <row r="88" spans="14:26" x14ac:dyDescent="0.2">
      <c r="R88" s="12" t="str">
        <f>Design!$H$20</f>
        <v>x</v>
      </c>
      <c r="S88" s="42">
        <f>S87-Design!$D$6*SIN(ATAN($Y$81))</f>
        <v>15.122798220515406</v>
      </c>
      <c r="T88" s="42">
        <f>T87+Design!$D$6*COS(ATAN($Y$81))</f>
        <v>48.93222909347358</v>
      </c>
      <c r="U88" s="42"/>
      <c r="V88" s="42">
        <f t="shared" si="15"/>
        <v>15.122798220515406</v>
      </c>
      <c r="W88" s="42">
        <f t="shared" si="16"/>
        <v>48.93222909347358</v>
      </c>
      <c r="X88" s="42"/>
      <c r="Y88" s="103"/>
      <c r="Z88" s="103"/>
    </row>
    <row r="89" spans="14:26" x14ac:dyDescent="0.2">
      <c r="R89" s="12" t="str">
        <f>Design!$H$20</f>
        <v>x</v>
      </c>
      <c r="S89" s="42">
        <f>S88+Design!$D$7*COS(ATAN($Y$81))/2</f>
        <v>15.810731121214081</v>
      </c>
      <c r="T89" s="42">
        <f>T88+Design!$D$7*SIN(ATAN($Y$81))/2</f>
        <v>57.40434502304727</v>
      </c>
      <c r="U89" s="42"/>
      <c r="V89" s="42">
        <f t="shared" si="15"/>
        <v>15.810731121214081</v>
      </c>
      <c r="W89" s="42">
        <f t="shared" si="16"/>
        <v>57.40434502304727</v>
      </c>
      <c r="X89" s="42"/>
      <c r="Y89" s="103"/>
      <c r="Z89" s="103"/>
    </row>
    <row r="90" spans="14:26" x14ac:dyDescent="0.2">
      <c r="R90" s="12" t="str">
        <f>Design!$H$20</f>
        <v>x</v>
      </c>
      <c r="S90" s="42">
        <f>S89+Design!$D$8*SIN(ATAN($Y$81))</f>
        <v>21.791048247971982</v>
      </c>
      <c r="T90" s="42">
        <f>T89-Design!$D$8*COS(ATAN($Y$81))</f>
        <v>56.918745328436444</v>
      </c>
      <c r="U90" s="42"/>
      <c r="V90" s="42">
        <f t="shared" si="15"/>
        <v>21.791048247971982</v>
      </c>
      <c r="W90" s="42">
        <f t="shared" si="16"/>
        <v>56.918745328436444</v>
      </c>
      <c r="X90" s="42"/>
      <c r="Y90" s="103"/>
      <c r="Z90" s="103"/>
    </row>
    <row r="91" spans="14:26" x14ac:dyDescent="0.2">
      <c r="R91" s="12" t="str">
        <f>Design!$H$20</f>
        <v>x</v>
      </c>
      <c r="S91" s="42">
        <f>S87+Design!$D$5*COS(ATAN($Y$81))/2</f>
        <v>32.718360218350711</v>
      </c>
      <c r="T91" s="42">
        <f>T87+(Design!$D$5)*SIN(ATAN($Y$81))/2</f>
        <v>65.462389346185418</v>
      </c>
      <c r="U91" s="42"/>
      <c r="V91" s="42">
        <f t="shared" si="15"/>
        <v>32.718360218350711</v>
      </c>
      <c r="W91" s="42">
        <f t="shared" si="16"/>
        <v>65.462389346185418</v>
      </c>
      <c r="X91" s="42"/>
      <c r="Y91" s="103"/>
      <c r="Z91" s="103"/>
    </row>
    <row r="92" spans="14:26" x14ac:dyDescent="0.2">
      <c r="S92" s="42"/>
      <c r="T92" s="103"/>
      <c r="U92" s="103"/>
      <c r="V92" s="42"/>
      <c r="W92" s="42"/>
      <c r="X92" s="42"/>
      <c r="Y92" s="103"/>
      <c r="Z92" s="103"/>
    </row>
    <row r="93" spans="14:26" x14ac:dyDescent="0.2">
      <c r="R93" s="12" t="str">
        <f>Design!$H$20</f>
        <v>x</v>
      </c>
      <c r="S93" s="42">
        <f>S94-(Design!$D$4*COS(ATAN($Y$81)))/2</f>
        <v>29.731922096494113</v>
      </c>
      <c r="T93" s="42">
        <f>T94-(Design!$D$4*SIN(ATAN($Y$81)))/2</f>
        <v>28.683439016624327</v>
      </c>
      <c r="U93" s="42"/>
      <c r="V93" s="42">
        <f t="shared" ref="V93:V98" si="17">IF(R93="x",S93,0)</f>
        <v>29.731922096494113</v>
      </c>
      <c r="W93" s="42">
        <f t="shared" ref="W93:W98" si="18">IF(R93="x",T93,0)</f>
        <v>28.683439016624327</v>
      </c>
      <c r="X93" s="42"/>
      <c r="Y93" s="103"/>
      <c r="Z93" s="103"/>
    </row>
    <row r="94" spans="14:26" x14ac:dyDescent="0.2">
      <c r="R94" s="12" t="str">
        <f>Design!$H$20</f>
        <v>x</v>
      </c>
      <c r="S94" s="42">
        <f>S87</f>
        <v>31.269654462761739</v>
      </c>
      <c r="T94" s="42">
        <f>T87</f>
        <v>47.621109918024345</v>
      </c>
      <c r="U94" s="42"/>
      <c r="V94" s="42">
        <f t="shared" si="17"/>
        <v>31.269654462761739</v>
      </c>
      <c r="W94" s="42">
        <f t="shared" si="18"/>
        <v>47.621109918024345</v>
      </c>
      <c r="X94" s="103"/>
      <c r="Y94" s="103"/>
      <c r="Z94" s="103"/>
    </row>
    <row r="95" spans="14:26" x14ac:dyDescent="0.2">
      <c r="R95" s="12" t="str">
        <f>Design!$H$20</f>
        <v>x</v>
      </c>
      <c r="S95" s="42">
        <f>S88</f>
        <v>15.122798220515406</v>
      </c>
      <c r="T95" s="42">
        <f>T88</f>
        <v>48.93222909347358</v>
      </c>
      <c r="U95" s="42"/>
      <c r="V95" s="42">
        <f t="shared" si="17"/>
        <v>15.122798220515406</v>
      </c>
      <c r="W95" s="42">
        <f t="shared" si="18"/>
        <v>48.93222909347358</v>
      </c>
      <c r="X95" s="42"/>
      <c r="Y95" s="103"/>
      <c r="Z95" s="103"/>
    </row>
    <row r="96" spans="14:26" x14ac:dyDescent="0.2">
      <c r="R96" s="12" t="str">
        <f>Design!$H$20</f>
        <v>x</v>
      </c>
      <c r="S96" s="42">
        <f>S95-Design!$D$7*COS(ATAN($Y$81))/2</f>
        <v>14.434865319816732</v>
      </c>
      <c r="T96" s="42">
        <f>T95-Design!$D$7*SIN(ATAN($Y$81))/2</f>
        <v>40.460113163899891</v>
      </c>
      <c r="U96" s="42"/>
      <c r="V96" s="42">
        <f t="shared" si="17"/>
        <v>14.434865319816732</v>
      </c>
      <c r="W96" s="42">
        <f t="shared" si="18"/>
        <v>40.460113163899891</v>
      </c>
      <c r="X96" s="42"/>
      <c r="Y96" s="103"/>
      <c r="Z96" s="103"/>
    </row>
    <row r="97" spans="16:26" x14ac:dyDescent="0.2">
      <c r="R97" s="12" t="str">
        <f>Design!$H$20</f>
        <v>x</v>
      </c>
      <c r="S97" s="42">
        <f>S96+Design!$D$8*SIN(ATAN($Y$81))</f>
        <v>20.415182446574633</v>
      </c>
      <c r="T97" s="42">
        <f>T96-Design!$D$8*COS(ATAN($Y$81))</f>
        <v>39.974513469289064</v>
      </c>
      <c r="U97" s="42"/>
      <c r="V97" s="42">
        <f t="shared" si="17"/>
        <v>20.415182446574633</v>
      </c>
      <c r="W97" s="42">
        <f t="shared" si="18"/>
        <v>39.974513469289064</v>
      </c>
      <c r="X97" s="42"/>
      <c r="Y97" s="103"/>
      <c r="Z97" s="103"/>
    </row>
    <row r="98" spans="16:26" x14ac:dyDescent="0.2">
      <c r="R98" s="12" t="str">
        <f>Design!$H$20</f>
        <v>x</v>
      </c>
      <c r="S98" s="42">
        <f>S94-Design!$D$5*COS(ATAN($Y$81))/2</f>
        <v>29.820948707172764</v>
      </c>
      <c r="T98" s="42">
        <f>T94-(Design!$D$5)*SIN(ATAN($Y$81))/2</f>
        <v>29.779830489863276</v>
      </c>
      <c r="U98" s="42"/>
      <c r="V98" s="42">
        <f t="shared" si="17"/>
        <v>29.820948707172764</v>
      </c>
      <c r="W98" s="42">
        <f t="shared" si="18"/>
        <v>29.779830489863276</v>
      </c>
      <c r="X98" s="42"/>
      <c r="Y98" s="103"/>
      <c r="Z98" s="103"/>
    </row>
    <row r="99" spans="16:26" x14ac:dyDescent="0.2">
      <c r="S99" s="42"/>
      <c r="T99" s="103"/>
      <c r="U99" s="103"/>
      <c r="V99" s="42"/>
      <c r="W99" s="42"/>
      <c r="X99" s="42"/>
      <c r="Y99" s="103"/>
      <c r="Z99" s="103"/>
    </row>
    <row r="100" spans="16:26" x14ac:dyDescent="0.2">
      <c r="R100" s="12" t="str">
        <f>Design!$H$20</f>
        <v>x</v>
      </c>
      <c r="S100" s="42">
        <f>S97</f>
        <v>20.415182446574633</v>
      </c>
      <c r="T100" s="42">
        <f>T97</f>
        <v>39.974513469289064</v>
      </c>
      <c r="U100" s="42"/>
      <c r="V100" s="42">
        <f>IF(R100="x",S100,0)</f>
        <v>20.415182446574633</v>
      </c>
      <c r="W100" s="42">
        <f>IF(R100="x",T100,0)</f>
        <v>39.974513469289064</v>
      </c>
      <c r="X100" s="42"/>
      <c r="Y100" s="103"/>
      <c r="Z100" s="103"/>
    </row>
    <row r="101" spans="16:26" x14ac:dyDescent="0.2">
      <c r="R101" s="12" t="str">
        <f>Design!$H$20</f>
        <v>x</v>
      </c>
      <c r="S101" s="42">
        <f>S90</f>
        <v>21.791048247971982</v>
      </c>
      <c r="T101" s="42">
        <f>T90</f>
        <v>56.918745328436444</v>
      </c>
      <c r="U101" s="42"/>
      <c r="V101" s="42">
        <f>IF(R101="x",S101,0)</f>
        <v>21.791048247971982</v>
      </c>
      <c r="W101" s="42">
        <f>IF(R101="x",T101,0)</f>
        <v>56.918745328436444</v>
      </c>
      <c r="X101" s="103"/>
      <c r="Y101" s="103"/>
      <c r="Z101" s="103"/>
    </row>
    <row r="105" spans="16:26" x14ac:dyDescent="0.2">
      <c r="Q105" s="12" t="s">
        <v>61</v>
      </c>
    </row>
    <row r="106" spans="16:26" x14ac:dyDescent="0.2">
      <c r="S106" s="43">
        <f>MIN(C6:D34)-5</f>
        <v>-5</v>
      </c>
      <c r="T106" s="43">
        <f>S106</f>
        <v>-5</v>
      </c>
      <c r="U106" s="43"/>
    </row>
    <row r="107" spans="16:26" x14ac:dyDescent="0.2">
      <c r="S107" s="43">
        <f>S106</f>
        <v>-5</v>
      </c>
      <c r="T107" s="43">
        <f>MAX(C6:D34,Path!D19:E164)</f>
        <v>120.65</v>
      </c>
      <c r="U107" s="43"/>
    </row>
    <row r="108" spans="16:26" x14ac:dyDescent="0.2">
      <c r="P108" s="107"/>
      <c r="Q108" s="107"/>
    </row>
    <row r="109" spans="16:26" x14ac:dyDescent="0.2">
      <c r="P109" s="43"/>
      <c r="Q109" s="43"/>
      <c r="S109" s="43">
        <f>S106</f>
        <v>-5</v>
      </c>
      <c r="T109" s="43">
        <f>S109</f>
        <v>-5</v>
      </c>
      <c r="U109" s="43"/>
    </row>
    <row r="110" spans="16:26" x14ac:dyDescent="0.2">
      <c r="P110" s="43"/>
      <c r="Q110" s="43"/>
      <c r="S110" s="43">
        <f>T107</f>
        <v>120.65</v>
      </c>
      <c r="T110" s="43">
        <f>T109</f>
        <v>-5</v>
      </c>
      <c r="U110" s="43"/>
    </row>
    <row r="111" spans="16:26" x14ac:dyDescent="0.2">
      <c r="P111" s="43"/>
      <c r="Q111" s="43"/>
    </row>
    <row r="112" spans="16:26" x14ac:dyDescent="0.2">
      <c r="P112" s="43"/>
      <c r="Q112" s="43"/>
    </row>
    <row r="113" spans="16:22" x14ac:dyDescent="0.2">
      <c r="P113" s="43"/>
      <c r="Q113" s="43"/>
    </row>
    <row r="114" spans="16:22" x14ac:dyDescent="0.2">
      <c r="S114" s="12" t="s">
        <v>12</v>
      </c>
      <c r="T114" s="12">
        <f>Design!E49</f>
        <v>57.2</v>
      </c>
    </row>
    <row r="115" spans="16:22" x14ac:dyDescent="0.2">
      <c r="V115" s="12" t="s">
        <v>67</v>
      </c>
    </row>
    <row r="116" spans="16:22" x14ac:dyDescent="0.2">
      <c r="S116" s="12" t="s">
        <v>64</v>
      </c>
      <c r="T116" s="108">
        <f>Design!D22</f>
        <v>302.78412323801348</v>
      </c>
      <c r="U116" s="108"/>
      <c r="V116" s="43">
        <f>Design!D26</f>
        <v>17.94214925155741</v>
      </c>
    </row>
    <row r="117" spans="16:22" x14ac:dyDescent="0.2">
      <c r="S117" s="12" t="s">
        <v>65</v>
      </c>
      <c r="T117" s="108">
        <f>Path!P141</f>
        <v>1481.9154458257658</v>
      </c>
      <c r="U117" s="108"/>
      <c r="V117" s="43">
        <f>Path!O141</f>
        <v>391.13269157905142</v>
      </c>
    </row>
    <row r="118" spans="16:22" x14ac:dyDescent="0.2">
      <c r="S118" s="12" t="s">
        <v>66</v>
      </c>
      <c r="T118" s="108">
        <f>Path!P141</f>
        <v>1481.9154458257658</v>
      </c>
      <c r="U118" s="108"/>
      <c r="V118" s="43">
        <f>Path!O141</f>
        <v>391.13269157905142</v>
      </c>
    </row>
    <row r="239" ht="10.5" customHeight="1" x14ac:dyDescent="0.2"/>
    <row r="240" ht="10.5" customHeight="1" x14ac:dyDescent="0.2"/>
    <row r="241" ht="10.5" customHeight="1" x14ac:dyDescent="0.2"/>
    <row r="242" ht="10.5" customHeight="1" x14ac:dyDescent="0.2"/>
    <row r="243" ht="10.5" customHeight="1" x14ac:dyDescent="0.2"/>
    <row r="244" ht="10.5" customHeight="1" x14ac:dyDescent="0.2"/>
    <row r="245" ht="10.5" customHeight="1" x14ac:dyDescent="0.2"/>
    <row r="246" ht="10.5" customHeight="1" x14ac:dyDescent="0.2"/>
    <row r="247" ht="10.5" customHeight="1" x14ac:dyDescent="0.2"/>
    <row r="248" ht="10.5" customHeight="1" x14ac:dyDescent="0.2"/>
    <row r="249" ht="10.5" customHeight="1" x14ac:dyDescent="0.2"/>
    <row r="250" ht="10.5" customHeight="1" x14ac:dyDescent="0.2"/>
    <row r="251" ht="10.5" customHeight="1" x14ac:dyDescent="0.2"/>
    <row r="252" ht="10.5" customHeight="1" x14ac:dyDescent="0.2"/>
    <row r="253" ht="10.5" customHeight="1" x14ac:dyDescent="0.2"/>
    <row r="254" ht="10.5" customHeight="1" x14ac:dyDescent="0.2"/>
    <row r="255" ht="10.5" customHeight="1" x14ac:dyDescent="0.2"/>
    <row r="256" ht="10.5" customHeight="1" x14ac:dyDescent="0.2"/>
    <row r="257" ht="10.5" customHeight="1" x14ac:dyDescent="0.2"/>
    <row r="258" ht="10.5" customHeight="1" x14ac:dyDescent="0.2"/>
    <row r="259" ht="10.5" customHeight="1" x14ac:dyDescent="0.2"/>
    <row r="260" ht="10.5" customHeight="1" x14ac:dyDescent="0.2"/>
    <row r="261" ht="10.5" customHeight="1" x14ac:dyDescent="0.2"/>
    <row r="262" ht="10.5" customHeight="1" x14ac:dyDescent="0.2"/>
    <row r="263" ht="10.5" customHeight="1" x14ac:dyDescent="0.2"/>
    <row r="264" ht="10.5" customHeight="1" x14ac:dyDescent="0.2"/>
    <row r="265" ht="10.5" customHeight="1" x14ac:dyDescent="0.2"/>
    <row r="266" ht="10.5" customHeight="1" x14ac:dyDescent="0.2"/>
    <row r="267" ht="10.5" customHeight="1" x14ac:dyDescent="0.2"/>
    <row r="268" ht="10.5" customHeight="1" x14ac:dyDescent="0.2"/>
    <row r="269" ht="10.5" customHeight="1" x14ac:dyDescent="0.2"/>
    <row r="270" ht="10.5" customHeight="1" x14ac:dyDescent="0.2"/>
    <row r="271" ht="10.5" customHeight="1" x14ac:dyDescent="0.2"/>
    <row r="272" ht="10.5" customHeight="1" x14ac:dyDescent="0.2"/>
    <row r="273" ht="10.5" customHeight="1" x14ac:dyDescent="0.2"/>
    <row r="274" ht="10.5" customHeight="1" x14ac:dyDescent="0.2"/>
    <row r="275" ht="10.5" customHeight="1" x14ac:dyDescent="0.2"/>
    <row r="276" ht="10.5" customHeight="1" x14ac:dyDescent="0.2"/>
    <row r="277" ht="10.5" customHeight="1" x14ac:dyDescent="0.2"/>
    <row r="278" ht="10.5" customHeight="1" x14ac:dyDescent="0.2"/>
    <row r="279" ht="10.5" customHeight="1" x14ac:dyDescent="0.2"/>
    <row r="280" ht="10.5" customHeight="1" x14ac:dyDescent="0.2"/>
  </sheetData>
  <sheetProtection sheet="1" objects="1" scenarios="1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AV186"/>
  <sheetViews>
    <sheetView topLeftCell="A97" workbookViewId="0">
      <selection activeCell="E159" sqref="E159"/>
    </sheetView>
  </sheetViews>
  <sheetFormatPr defaultRowHeight="12.75" x14ac:dyDescent="0.2"/>
  <cols>
    <col min="2" max="2" width="3" customWidth="1"/>
    <col min="3" max="3" width="3.28515625" customWidth="1"/>
    <col min="22" max="22" width="2.5703125" customWidth="1"/>
    <col min="24" max="24" width="3.28515625" customWidth="1"/>
    <col min="27" max="27" width="3.28515625" customWidth="1"/>
    <col min="30" max="30" width="3" customWidth="1"/>
    <col min="38" max="38" width="15" customWidth="1"/>
    <col min="40" max="40" width="9.7109375" customWidth="1"/>
  </cols>
  <sheetData>
    <row r="2" spans="7:47" x14ac:dyDescent="0.2">
      <c r="G2" s="12"/>
      <c r="H2" s="190" t="s">
        <v>125</v>
      </c>
      <c r="I2" s="190" t="s">
        <v>37</v>
      </c>
      <c r="J2" s="190" t="s">
        <v>38</v>
      </c>
      <c r="K2" s="190" t="s">
        <v>37</v>
      </c>
      <c r="L2" s="190" t="s">
        <v>123</v>
      </c>
      <c r="M2" s="191" t="s">
        <v>124</v>
      </c>
      <c r="N2" s="190" t="s">
        <v>37</v>
      </c>
      <c r="O2" s="190" t="s">
        <v>38</v>
      </c>
      <c r="P2" s="190" t="s">
        <v>37</v>
      </c>
      <c r="Q2" s="190" t="s">
        <v>123</v>
      </c>
    </row>
    <row r="3" spans="7:47" x14ac:dyDescent="0.2">
      <c r="G3" s="188">
        <v>1</v>
      </c>
      <c r="H3" s="193">
        <f>Design!D45</f>
        <v>2.7229640864390294</v>
      </c>
      <c r="I3" s="189">
        <f>COS(H3*PI()/180)</f>
        <v>0.99887091451727661</v>
      </c>
      <c r="J3" s="189">
        <f>SIN(H3*PI()/180)</f>
        <v>4.7506800896498627E-2</v>
      </c>
      <c r="K3" s="189">
        <f>I3</f>
        <v>0.99887091451727661</v>
      </c>
      <c r="L3" s="189">
        <f>TAN(H3*PI()/180)</f>
        <v>4.7560500767466228E-2</v>
      </c>
      <c r="M3" s="189">
        <f>H3/2</f>
        <v>1.3614820432195147</v>
      </c>
      <c r="N3" s="189">
        <f>COS(M3*PI()/180)</f>
        <v>0.99971768877950651</v>
      </c>
      <c r="O3" s="189">
        <f>SIN(M3*PI()/180)</f>
        <v>2.3760108193392446E-2</v>
      </c>
      <c r="P3" s="189">
        <f>N3</f>
        <v>0.99971768877950651</v>
      </c>
      <c r="Q3" s="189">
        <f>TAN(M3*PI()/180)</f>
        <v>2.3766817832742055E-2</v>
      </c>
    </row>
    <row r="4" spans="7:47" x14ac:dyDescent="0.2">
      <c r="G4" s="192">
        <v>2</v>
      </c>
      <c r="H4" s="193">
        <f>Design!$D46</f>
        <v>4.6422128437590908</v>
      </c>
      <c r="I4" s="189">
        <f>COS(H4*PI()/180)</f>
        <v>0.99671952112631668</v>
      </c>
      <c r="J4" s="189">
        <f>SIN(H4*PI()/180)</f>
        <v>8.0933282435138282E-2</v>
      </c>
      <c r="K4" s="189">
        <f>I4</f>
        <v>0.99671952112631668</v>
      </c>
      <c r="L4" s="189">
        <f>TAN(H4*PI()/180)</f>
        <v>8.1199656191825911E-2</v>
      </c>
      <c r="M4" s="189">
        <f>H4/2</f>
        <v>2.3211064218795454</v>
      </c>
      <c r="N4" s="189">
        <f>COS(M4*PI()/180)</f>
        <v>0.9991795437073151</v>
      </c>
      <c r="O4" s="189">
        <f>SIN(M4*PI()/180)</f>
        <v>4.049986959042752E-2</v>
      </c>
      <c r="P4" s="189">
        <f>N4</f>
        <v>0.9991795437073151</v>
      </c>
      <c r="Q4" s="189">
        <f>TAN(M4*PI()/180)</f>
        <v>4.0533125248099509E-2</v>
      </c>
    </row>
    <row r="5" spans="7:47" x14ac:dyDescent="0.2">
      <c r="G5" s="192">
        <v>3</v>
      </c>
      <c r="H5" s="193">
        <f>(180-H3)/2-H4</f>
        <v>83.996305113021393</v>
      </c>
      <c r="I5" s="189">
        <f>COS((H5)*PI()/180)</f>
        <v>0.10459259772182318</v>
      </c>
      <c r="J5" s="189">
        <f>SIN((H5)*PI()/180)</f>
        <v>0.99451515247471256</v>
      </c>
      <c r="K5" s="189">
        <f>I5</f>
        <v>0.10459259772182318</v>
      </c>
      <c r="L5" s="189">
        <f>TAN((H5)*PI()/180)</f>
        <v>9.5084659348431853</v>
      </c>
      <c r="M5" s="189">
        <f>H5/2</f>
        <v>41.998152556510696</v>
      </c>
      <c r="N5" s="189">
        <f>COS(M5*PI()/180)</f>
        <v>0.74316640051936655</v>
      </c>
      <c r="O5" s="189">
        <f>SIN(M5*PI()/180)</f>
        <v>0.66910664407035181</v>
      </c>
      <c r="P5" s="189">
        <f>N5</f>
        <v>0.74316640051936655</v>
      </c>
      <c r="Q5" s="189">
        <f>TAN(M5*PI()/180)</f>
        <v>0.90034566094853363</v>
      </c>
    </row>
    <row r="6" spans="7:47" x14ac:dyDescent="0.2">
      <c r="G6" s="192" t="s">
        <v>134</v>
      </c>
      <c r="H6" s="193">
        <f>H3+H4</f>
        <v>7.3651769301981203</v>
      </c>
      <c r="I6" s="189">
        <f>COS((H6)*PI()/180)</f>
        <v>0.99174925825011973</v>
      </c>
      <c r="J6" s="189">
        <f>SIN((H6)*PI()/180)</f>
        <v>0.12819285768067298</v>
      </c>
      <c r="K6" s="189">
        <f>I6</f>
        <v>0.99174925825011973</v>
      </c>
      <c r="L6" s="189">
        <f>TAN((H6)*PI()/180)</f>
        <v>0.12925934313967763</v>
      </c>
      <c r="M6" s="189">
        <f>H6/2</f>
        <v>3.6825884650990601</v>
      </c>
      <c r="N6" s="189">
        <f>COS(M6*PI()/180)</f>
        <v>0.99793518282755211</v>
      </c>
      <c r="O6" s="189">
        <f>SIN(M6*PI()/180)</f>
        <v>6.4229050085923931E-2</v>
      </c>
      <c r="P6" s="189">
        <f>N6</f>
        <v>0.99793518282755211</v>
      </c>
      <c r="Q6" s="189">
        <f>TAN(M6*PI()/180)</f>
        <v>6.4361945736733289E-2</v>
      </c>
    </row>
    <row r="7" spans="7:47" x14ac:dyDescent="0.2">
      <c r="G7" s="192" t="s">
        <v>135</v>
      </c>
      <c r="H7" s="193">
        <f>H3-H4</f>
        <v>-1.9192487573200614</v>
      </c>
      <c r="I7" s="189">
        <f>COS((H7)*PI()/180)</f>
        <v>0.99943902091921211</v>
      </c>
      <c r="J7" s="189">
        <f>SIN((H7)*PI()/180)</f>
        <v>-3.3490946001070228E-2</v>
      </c>
      <c r="K7" s="189">
        <f>I7</f>
        <v>0.99943902091921211</v>
      </c>
      <c r="L7" s="189">
        <f>TAN((H7)*PI()/180)</f>
        <v>-3.3509744266606342E-2</v>
      </c>
      <c r="M7" s="189">
        <f>H7/2</f>
        <v>-0.9596243786600307</v>
      </c>
      <c r="N7" s="189">
        <f>COS((H7)*PI()/(180*2))</f>
        <v>0.99985974539412581</v>
      </c>
      <c r="O7" s="189">
        <f>SIN((H7)*PI()/(180*2))</f>
        <v>-1.6747821959703323E-2</v>
      </c>
      <c r="P7" s="189">
        <f>N7</f>
        <v>0.99985974539412581</v>
      </c>
      <c r="Q7" s="189">
        <f>TAN((H7)*PI()/(180*2))</f>
        <v>-1.675017124837009E-2</v>
      </c>
    </row>
    <row r="9" spans="7:47" x14ac:dyDescent="0.2">
      <c r="G9" s="1"/>
      <c r="H9" s="17" t="s">
        <v>44</v>
      </c>
      <c r="I9" s="17" t="s">
        <v>1</v>
      </c>
      <c r="J9" s="17" t="s">
        <v>127</v>
      </c>
      <c r="K9" s="17" t="s">
        <v>12</v>
      </c>
      <c r="L9" s="17" t="s">
        <v>6</v>
      </c>
      <c r="M9" s="1"/>
      <c r="N9" s="1"/>
      <c r="O9" s="17" t="s">
        <v>128</v>
      </c>
      <c r="P9" s="1"/>
      <c r="Q9" s="1"/>
      <c r="R9" s="1"/>
      <c r="S9" s="9" t="s">
        <v>129</v>
      </c>
      <c r="T9" s="1"/>
      <c r="U9" s="9"/>
      <c r="V9" s="9"/>
      <c r="W9" s="9"/>
      <c r="X9" s="9"/>
      <c r="Y9" s="1"/>
    </row>
    <row r="10" spans="7:47" x14ac:dyDescent="0.2">
      <c r="G10" s="9" t="s">
        <v>13</v>
      </c>
      <c r="H10" s="194">
        <f>P24</f>
        <v>254.00078374287892</v>
      </c>
      <c r="I10" s="3">
        <f>O24</f>
        <v>1.2541546914346694E-3</v>
      </c>
      <c r="J10" s="3">
        <f>Design!D12-2*Design!D51</f>
        <v>57.160000000000004</v>
      </c>
      <c r="K10" s="1"/>
      <c r="L10" s="3">
        <f t="shared" ref="L10:L14" si="0">H10/J10</f>
        <v>4.443680611316986</v>
      </c>
      <c r="M10" s="3"/>
      <c r="N10" s="1"/>
      <c r="O10" s="3">
        <f>(H10/PI())^0.5</f>
        <v>8.9917162190423596</v>
      </c>
      <c r="R10" s="1"/>
      <c r="T10" s="1"/>
      <c r="U10" s="195"/>
      <c r="V10" s="195"/>
      <c r="W10" s="195"/>
      <c r="X10" s="195"/>
      <c r="Y10" s="2"/>
    </row>
    <row r="11" spans="7:47" x14ac:dyDescent="0.2">
      <c r="G11" s="9" t="s">
        <v>41</v>
      </c>
      <c r="H11" s="194">
        <f>P30</f>
        <v>302.78412323801348</v>
      </c>
      <c r="I11" s="3">
        <f>O30</f>
        <v>17.943403406248844</v>
      </c>
      <c r="J11" s="3">
        <f>J10</f>
        <v>57.160000000000004</v>
      </c>
      <c r="K11" s="3">
        <f>I11-I10</f>
        <v>17.94214925155741</v>
      </c>
      <c r="L11" s="3">
        <f t="shared" si="0"/>
        <v>5.2971330167602071</v>
      </c>
      <c r="M11" s="3">
        <f>ATAN((L11-L10)/(I11-I10))*180/PI()</f>
        <v>2.7233298639162657</v>
      </c>
      <c r="N11" s="1"/>
      <c r="O11" s="3">
        <f t="shared" ref="O11:O14" si="1">(H11/PI())^0.5</f>
        <v>9.8172898401825197</v>
      </c>
      <c r="P11" s="3">
        <f>ATAN((O12-O11)/(I12-I11))*180/PI()</f>
        <v>1.7452896648716423</v>
      </c>
      <c r="Q11" s="195">
        <f>SIN(P11*PI()/(180*2))</f>
        <v>1.522993669862018E-2</v>
      </c>
      <c r="R11" s="1"/>
      <c r="S11" s="195">
        <f>LN(H12/H11)/(I12-I11)</f>
        <v>4.4373550147247549E-3</v>
      </c>
      <c r="T11" s="1"/>
      <c r="U11" s="1"/>
      <c r="V11" s="1"/>
      <c r="W11" s="1"/>
      <c r="X11" s="1"/>
      <c r="Y11" s="1"/>
    </row>
    <row r="12" spans="7:47" x14ac:dyDescent="0.2">
      <c r="G12" s="9" t="s">
        <v>53</v>
      </c>
      <c r="H12" s="194">
        <f>P114</f>
        <v>1083.8688245480694</v>
      </c>
      <c r="I12" s="3">
        <f>O114</f>
        <v>305.33805018479768</v>
      </c>
      <c r="J12" s="3">
        <f>J11</f>
        <v>57.160000000000004</v>
      </c>
      <c r="K12" s="3">
        <f>I12-I11</f>
        <v>287.39464677854886</v>
      </c>
      <c r="L12" s="3">
        <f t="shared" si="0"/>
        <v>18.96201582484376</v>
      </c>
      <c r="M12" s="3">
        <f>ATAN((L12-L10)/(I12-I10))*180/PI()</f>
        <v>2.7222833930827059</v>
      </c>
      <c r="N12" s="1"/>
      <c r="O12" s="3">
        <f t="shared" si="1"/>
        <v>18.574341500576946</v>
      </c>
      <c r="P12" s="3"/>
      <c r="Q12" s="195"/>
      <c r="R12" s="1"/>
      <c r="S12" s="1"/>
      <c r="T12" s="1"/>
      <c r="U12" s="1"/>
      <c r="V12" s="1"/>
      <c r="W12" s="1"/>
      <c r="X12" s="1"/>
      <c r="Y12" s="1"/>
      <c r="AL12" s="12" t="s">
        <v>73</v>
      </c>
      <c r="AM12" s="12"/>
      <c r="AN12" s="12"/>
      <c r="AO12" s="12"/>
      <c r="AP12" s="12"/>
      <c r="AQ12" s="12"/>
      <c r="AR12" s="12"/>
      <c r="AS12" s="12"/>
      <c r="AT12" s="12"/>
      <c r="AU12" s="12"/>
    </row>
    <row r="13" spans="7:47" x14ac:dyDescent="0.2">
      <c r="G13" s="9" t="s">
        <v>14</v>
      </c>
      <c r="H13" s="194">
        <f>P159</f>
        <v>1681.3214261638429</v>
      </c>
      <c r="I13" s="3">
        <f>O159</f>
        <v>434.02680627612671</v>
      </c>
      <c r="J13" s="3">
        <f>J12</f>
        <v>57.160000000000004</v>
      </c>
      <c r="K13" s="3">
        <f>I13-I12</f>
        <v>128.68875609132903</v>
      </c>
      <c r="L13" s="3">
        <f t="shared" si="0"/>
        <v>29.41430066766695</v>
      </c>
      <c r="M13" s="3"/>
      <c r="N13" s="1"/>
      <c r="O13" s="3">
        <f t="shared" si="1"/>
        <v>23.133984347720595</v>
      </c>
      <c r="P13" s="1"/>
      <c r="Q13" s="1"/>
      <c r="R13" s="1"/>
      <c r="S13" s="1"/>
      <c r="T13" s="1"/>
      <c r="U13" s="1"/>
      <c r="V13" s="1"/>
      <c r="W13" s="1"/>
      <c r="X13" s="1"/>
      <c r="Y13" s="1"/>
      <c r="AL13" s="12"/>
      <c r="AM13" s="12"/>
      <c r="AN13" s="12"/>
      <c r="AO13" s="43">
        <f>AO15-AM15</f>
        <v>16.146856242246333</v>
      </c>
      <c r="AP13" s="43">
        <f>AP15-AN15</f>
        <v>-1.3111191754492353</v>
      </c>
      <c r="AQ13" s="12"/>
      <c r="AR13" s="12"/>
      <c r="AS13" s="12"/>
      <c r="AT13" s="12"/>
      <c r="AU13" s="12"/>
    </row>
    <row r="14" spans="7:47" x14ac:dyDescent="0.2">
      <c r="G14" s="9" t="s">
        <v>54</v>
      </c>
      <c r="H14" s="194">
        <f>P165</f>
        <v>1814.4994191456149</v>
      </c>
      <c r="I14" s="3">
        <f>O165</f>
        <v>462.7475944282906</v>
      </c>
      <c r="J14" s="3">
        <f>J13</f>
        <v>57.160000000000004</v>
      </c>
      <c r="K14" s="3">
        <f>I14-I13</f>
        <v>28.720788152163891</v>
      </c>
      <c r="L14" s="3">
        <f t="shared" si="0"/>
        <v>31.744216570077235</v>
      </c>
      <c r="M14" s="3">
        <f>ATAN((L14-L12)/(I14-I12))*180/PI()</f>
        <v>4.6424297617063957</v>
      </c>
      <c r="N14" s="1"/>
      <c r="O14" s="3">
        <f t="shared" si="1"/>
        <v>24.032750645500297</v>
      </c>
      <c r="P14" s="3"/>
      <c r="Q14" s="195"/>
      <c r="R14" s="1"/>
      <c r="S14" s="1"/>
      <c r="T14" s="1"/>
      <c r="U14" s="1"/>
      <c r="V14" s="1"/>
      <c r="W14" s="1"/>
      <c r="X14" s="1"/>
      <c r="Y14" s="1"/>
      <c r="AL14" s="12"/>
      <c r="AM14" s="17" t="s">
        <v>75</v>
      </c>
      <c r="AN14" s="17" t="s">
        <v>76</v>
      </c>
      <c r="AO14" s="17" t="s">
        <v>77</v>
      </c>
      <c r="AP14" s="17" t="s">
        <v>78</v>
      </c>
      <c r="AQ14" s="17" t="s">
        <v>79</v>
      </c>
      <c r="AR14" s="17" t="s">
        <v>80</v>
      </c>
      <c r="AS14" s="17" t="s">
        <v>5</v>
      </c>
      <c r="AT14" s="17" t="s">
        <v>6</v>
      </c>
      <c r="AU14" s="103" t="s">
        <v>19</v>
      </c>
    </row>
    <row r="15" spans="7:47" x14ac:dyDescent="0.2">
      <c r="K15" s="3">
        <f>SUM(K10:K14)</f>
        <v>462.74634027359917</v>
      </c>
      <c r="AL15" s="9" t="s">
        <v>74</v>
      </c>
      <c r="AM15" s="43">
        <f>Panels!S95</f>
        <v>15.122798220515406</v>
      </c>
      <c r="AN15" s="43">
        <f>Panels!T95</f>
        <v>48.93222909347358</v>
      </c>
      <c r="AO15" s="43">
        <f>Panels!S94</f>
        <v>31.269654462761739</v>
      </c>
      <c r="AP15" s="43">
        <f>Panels!T94</f>
        <v>47.621109918024345</v>
      </c>
      <c r="AQ15" s="107">
        <f>(AP15-AN15)/(AO15-AM15)</f>
        <v>-8.1199656191825606E-2</v>
      </c>
      <c r="AR15" s="107">
        <f>(AP15*AM15-AN15*AO15)/(AM15-AO15)</f>
        <v>50.160195109637776</v>
      </c>
      <c r="AS15" s="12"/>
      <c r="AT15" s="43"/>
      <c r="AU15" s="43"/>
    </row>
    <row r="16" spans="7:47" x14ac:dyDescent="0.2">
      <c r="G16" s="9" t="s">
        <v>174</v>
      </c>
      <c r="H16" s="1" t="str">
        <f>Design!D40</f>
        <v>Par</v>
      </c>
      <c r="AL16" s="9" t="s">
        <v>81</v>
      </c>
      <c r="AM16" s="43">
        <f>Panels!C37</f>
        <v>29.81285537892925</v>
      </c>
      <c r="AN16" s="43">
        <f>Panels!D37</f>
        <v>29.68015853775065</v>
      </c>
      <c r="AO16" s="43">
        <f>Panels!C40</f>
        <v>33.654298627389551</v>
      </c>
      <c r="AP16" s="43">
        <f>Panels!D40</f>
        <v>76.98877323662677</v>
      </c>
      <c r="AQ16" s="107">
        <f>(AP16-AN16)/(AO16-AM16)</f>
        <v>12.31532308015692</v>
      </c>
      <c r="AR16" s="107">
        <f>(AP16*AM16-AN16*AO16)/(AM16-AO16)</f>
        <v>-337.47478739575706</v>
      </c>
      <c r="AS16" s="43">
        <f>(AR15-AR16)/(AQ16-AQ15)</f>
        <v>31.269654462761729</v>
      </c>
      <c r="AT16" s="43">
        <f>AS16*AQ16+AR16</f>
        <v>47.621109918024331</v>
      </c>
      <c r="AU16" s="43">
        <f>(AS16^2+AT16^2)^0.5</f>
        <v>56.969828857431807</v>
      </c>
    </row>
    <row r="17" spans="1:48" x14ac:dyDescent="0.2">
      <c r="AL17" s="9" t="s">
        <v>82</v>
      </c>
      <c r="AM17" s="43">
        <f>Panels!C38</f>
        <v>31.706622469069252</v>
      </c>
      <c r="AN17" s="43">
        <f>Panels!D38</f>
        <v>29.526385301123888</v>
      </c>
      <c r="AO17" s="43">
        <f>Panels!C39</f>
        <v>35.548065717529553</v>
      </c>
      <c r="AP17" s="43">
        <f>Panels!D39</f>
        <v>76.835000000000008</v>
      </c>
      <c r="AQ17" s="107">
        <f>(AP17-AN17)/(AO17-AM17)</f>
        <v>12.31532308015692</v>
      </c>
      <c r="AR17" s="107">
        <f>(AP17*AM17-AN17*AO17)/(AM17-AO17)</f>
        <v>-360.95091418602669</v>
      </c>
      <c r="AS17" s="43">
        <f>(AR15-AR17)/(AQ17-AQ15)</f>
        <v>33.163421552901738</v>
      </c>
      <c r="AT17" s="43">
        <f>AS17*AQ17+AR17</f>
        <v>47.467336681397569</v>
      </c>
      <c r="AU17" s="43">
        <f>(AS17^2+AT17^2)^0.5</f>
        <v>57.90475438787923</v>
      </c>
    </row>
    <row r="18" spans="1:48" s="12" customFormat="1" ht="11.25" x14ac:dyDescent="0.2">
      <c r="A18" s="9" t="s">
        <v>39</v>
      </c>
      <c r="B18" s="9"/>
      <c r="D18" s="17" t="s">
        <v>5</v>
      </c>
      <c r="E18" s="17" t="s">
        <v>6</v>
      </c>
      <c r="G18" s="17" t="s">
        <v>5</v>
      </c>
      <c r="H18" s="17" t="s">
        <v>6</v>
      </c>
      <c r="J18" s="17" t="s">
        <v>12</v>
      </c>
      <c r="K18" s="17" t="s">
        <v>5</v>
      </c>
      <c r="L18" s="17" t="s">
        <v>6</v>
      </c>
      <c r="M18" s="9" t="s">
        <v>40</v>
      </c>
      <c r="N18" s="17" t="s">
        <v>12</v>
      </c>
      <c r="O18" s="9" t="s">
        <v>1</v>
      </c>
      <c r="P18" s="9" t="s">
        <v>44</v>
      </c>
      <c r="Q18" s="9"/>
      <c r="R18" s="9"/>
    </row>
    <row r="19" spans="1:48" s="12" customFormat="1" x14ac:dyDescent="0.2">
      <c r="D19" s="109">
        <f>AS26</f>
        <v>36.133878269035051</v>
      </c>
      <c r="E19" s="110">
        <f>AT26</f>
        <v>29.166893652293368</v>
      </c>
      <c r="F19" s="111"/>
      <c r="G19" s="110">
        <f>IF(Design!$H$19="x",D19,0)</f>
        <v>0</v>
      </c>
      <c r="H19" s="110">
        <f>IF(Design!$H$19="x",E19,0)</f>
        <v>0</v>
      </c>
      <c r="I19" s="110">
        <f>SUM(D19:D20)/2</f>
        <v>33.920250369052155</v>
      </c>
      <c r="J19" s="110">
        <f>SUM(E19:E20)/2</f>
        <v>29.346639476708628</v>
      </c>
      <c r="K19" s="110"/>
      <c r="L19" s="110"/>
      <c r="M19" s="111"/>
      <c r="N19" s="110"/>
      <c r="O19" s="110"/>
      <c r="P19" s="121"/>
      <c r="S19" s="282" t="s">
        <v>175</v>
      </c>
      <c r="T19" s="283"/>
      <c r="U19" s="227" t="s">
        <v>130</v>
      </c>
      <c r="V19" s="237"/>
      <c r="W19" s="190" t="s">
        <v>171</v>
      </c>
      <c r="X19" s="237"/>
      <c r="Y19" s="276" t="s">
        <v>136</v>
      </c>
      <c r="Z19" s="277"/>
      <c r="AA19" s="237"/>
      <c r="AB19" s="278" t="s">
        <v>128</v>
      </c>
      <c r="AC19" s="279"/>
      <c r="AD19" s="237"/>
      <c r="AE19" s="280" t="s">
        <v>129</v>
      </c>
      <c r="AF19" s="281"/>
      <c r="AG19" s="43"/>
      <c r="AL19" s="9" t="s">
        <v>30</v>
      </c>
      <c r="AM19" s="43">
        <f>D23</f>
        <v>31.710894455334323</v>
      </c>
      <c r="AN19" s="43">
        <f>E23</f>
        <v>29.578996192172241</v>
      </c>
      <c r="AO19" s="43">
        <f>AM19+100*Panels!T7</f>
        <v>131.16240970280558</v>
      </c>
      <c r="AP19" s="43">
        <f>AN19-100*Panels!U7</f>
        <v>19.119736419989923</v>
      </c>
      <c r="AQ19" s="107">
        <f>(AP19-AN19)/(AO19-AM19)</f>
        <v>-0.10516943604283863</v>
      </c>
      <c r="AR19" s="107">
        <f>(AP19*AM19-AN19*AO19)/(AM19-AO19)</f>
        <v>32.914013078453735</v>
      </c>
      <c r="AU19" s="43"/>
    </row>
    <row r="20" spans="1:48" s="12" customFormat="1" ht="11.25" x14ac:dyDescent="0.2">
      <c r="B20" s="9">
        <f t="shared" ref="B20:B104" si="2">B23+1</f>
        <v>35</v>
      </c>
      <c r="C20" s="38">
        <v>1</v>
      </c>
      <c r="D20" s="112">
        <f>Panels!C38</f>
        <v>31.706622469069252</v>
      </c>
      <c r="E20" s="113">
        <f>Panels!D38</f>
        <v>29.526385301123888</v>
      </c>
      <c r="F20" s="114"/>
      <c r="G20" s="113">
        <f>IF(Design!$H$19="x",D20,0)</f>
        <v>0</v>
      </c>
      <c r="H20" s="113">
        <f>IF(Design!$H$19="x",E20,0)</f>
        <v>0</v>
      </c>
      <c r="I20" s="113"/>
      <c r="J20" s="113"/>
      <c r="K20" s="113"/>
      <c r="L20" s="113"/>
      <c r="M20" s="114"/>
      <c r="N20" s="113"/>
      <c r="O20" s="113"/>
      <c r="P20" s="119"/>
      <c r="Q20" s="43">
        <f>ATAN((E19-E20)/(D19-D20))*180/PI()</f>
        <v>-4.6422128437594781</v>
      </c>
      <c r="R20" s="43"/>
      <c r="S20" s="219"/>
      <c r="T20" s="220"/>
      <c r="U20" s="228"/>
      <c r="V20" s="219"/>
      <c r="W20" s="215"/>
      <c r="X20" s="219"/>
      <c r="Y20" s="200"/>
      <c r="Z20" s="201"/>
      <c r="AA20" s="219"/>
      <c r="AB20" s="232"/>
      <c r="AC20" s="233"/>
      <c r="AD20" s="219"/>
      <c r="AE20" s="234"/>
      <c r="AF20" s="235"/>
      <c r="AG20" s="43"/>
      <c r="AL20" s="9" t="s">
        <v>132</v>
      </c>
      <c r="AM20" s="43">
        <f>AM29</f>
        <v>36.145462410396654</v>
      </c>
      <c r="AN20" s="43">
        <f>AN29</f>
        <v>29.256513025873851</v>
      </c>
      <c r="AO20" s="43">
        <f>AO29</f>
        <v>41.190161894408035</v>
      </c>
      <c r="AP20" s="43">
        <f>AP29</f>
        <v>68.284248750633637</v>
      </c>
      <c r="AQ20" s="107">
        <f>IF(AO20&lt;&gt;AM20,(AP20-AN20)/(AO20-AM20),"")</f>
        <v>7.7363846644292469</v>
      </c>
      <c r="AR20" s="107">
        <f>IF(AQ20&lt;&gt;"",(AP20*AM20-AN20*AO20)/(AM20-AO20),AM20)</f>
        <v>-250.37868805462261</v>
      </c>
      <c r="AS20" s="43">
        <f>IF(AQ20&lt;&gt;"",(AR19-AR20)/(AQ20-AQ19),AM20)</f>
        <v>36.127111731081627</v>
      </c>
      <c r="AT20" s="43">
        <f>AS20*AQ19+AR19</f>
        <v>29.114545111839259</v>
      </c>
      <c r="AU20" s="43"/>
    </row>
    <row r="21" spans="1:48" s="12" customFormat="1" ht="11.25" x14ac:dyDescent="0.2">
      <c r="B21" s="9"/>
      <c r="C21" s="9"/>
      <c r="D21" s="115"/>
      <c r="E21" s="116"/>
      <c r="F21" s="116"/>
      <c r="G21" s="117"/>
      <c r="H21" s="113"/>
      <c r="I21" s="113"/>
      <c r="J21" s="113"/>
      <c r="K21" s="113"/>
      <c r="L21" s="113"/>
      <c r="M21" s="184">
        <f>((D19-D20)^2+(E19-E20)^2)^0.5</f>
        <v>4.4418271199934933</v>
      </c>
      <c r="N21" s="113">
        <f>((I19-Panels!H94)^2+(J19-Panels!I94)^2)^0.5</f>
        <v>44.853189782612965</v>
      </c>
      <c r="O21" s="113">
        <v>0</v>
      </c>
      <c r="P21" s="155">
        <f>((D19-D20)^2+(E19-E20)^2)^0.5*Panels!$T$114</f>
        <v>254.07251126362783</v>
      </c>
      <c r="Q21" s="43"/>
      <c r="R21" s="43"/>
      <c r="S21" s="221"/>
      <c r="T21" s="222"/>
      <c r="U21" s="229"/>
      <c r="V21" s="223"/>
      <c r="W21" s="216"/>
      <c r="X21" s="223"/>
      <c r="Y21" s="202"/>
      <c r="Z21" s="203"/>
      <c r="AA21" s="223"/>
      <c r="AB21" s="206"/>
      <c r="AC21" s="207"/>
      <c r="AD21" s="223"/>
      <c r="AE21" s="208"/>
      <c r="AF21" s="209"/>
      <c r="AG21" s="43"/>
    </row>
    <row r="22" spans="1:48" s="12" customFormat="1" ht="11.25" x14ac:dyDescent="0.2">
      <c r="B22" s="9"/>
      <c r="C22" s="9"/>
      <c r="D22" s="109">
        <f>AS20</f>
        <v>36.127111731081627</v>
      </c>
      <c r="E22" s="110">
        <f>AT20</f>
        <v>29.114545111839259</v>
      </c>
      <c r="F22" s="111"/>
      <c r="G22" s="110">
        <f>IF(Design!$H$19="x",D22,0)</f>
        <v>0</v>
      </c>
      <c r="H22" s="110">
        <f>IF(Design!$H$19="x",E22,0)</f>
        <v>0</v>
      </c>
      <c r="I22" s="110">
        <f>SUM(D22:D23)/2</f>
        <v>33.919003093207976</v>
      </c>
      <c r="J22" s="110">
        <f>SUM(E22:E23)/2</f>
        <v>29.346770652005752</v>
      </c>
      <c r="K22" s="110">
        <f>IF(Design!$H$18="x",I22,0)</f>
        <v>33.919003093207976</v>
      </c>
      <c r="L22" s="110">
        <f>IF(Design!$H$18="x",J22,0)</f>
        <v>29.346770652005752</v>
      </c>
      <c r="M22" s="120"/>
      <c r="N22" s="110">
        <f t="shared" ref="N22:P23" si="3">N21</f>
        <v>44.853189782612965</v>
      </c>
      <c r="O22" s="110">
        <f t="shared" si="3"/>
        <v>0</v>
      </c>
      <c r="P22" s="154">
        <f t="shared" si="3"/>
        <v>254.07251126362783</v>
      </c>
      <c r="S22" s="223">
        <f t="shared" ref="S22:S24" si="4">P22/2</f>
        <v>127.03625563181392</v>
      </c>
      <c r="T22" s="224">
        <f t="shared" ref="T22:T24" si="5">-S22</f>
        <v>-127.03625563181392</v>
      </c>
      <c r="U22" s="229">
        <f>(S22-Y22)*2</f>
        <v>5.5190216106012713E-2</v>
      </c>
      <c r="V22" s="223"/>
      <c r="W22" s="218">
        <f>IF($H$16="Par",Y22,0)+IF($H$16="Con",AB22,0)+IF($H$16="Exp",AE22,0)</f>
        <v>127.00866052376091</v>
      </c>
      <c r="X22" s="223"/>
      <c r="Y22" s="202">
        <f t="shared" ref="Y22:Y39" si="6">((_S3_-_S2_)*(O22-_L2_)/(_L3_-_L2_)+_S2_)/2</f>
        <v>127.00866052376091</v>
      </c>
      <c r="Z22" s="203">
        <f t="shared" ref="Z22:Z24" si="7">-Y22</f>
        <v>-127.00866052376091</v>
      </c>
      <c r="AA22" s="223"/>
      <c r="AB22" s="202">
        <f t="shared" ref="AB22" si="8">Y22</f>
        <v>127.00866052376091</v>
      </c>
      <c r="AC22" s="203">
        <f>-AB22</f>
        <v>-127.00866052376091</v>
      </c>
      <c r="AD22" s="223"/>
      <c r="AE22" s="202">
        <f t="shared" ref="AE22" si="9">Y22</f>
        <v>127.00866052376091</v>
      </c>
      <c r="AF22" s="203">
        <f>-AE22</f>
        <v>-127.00866052376091</v>
      </c>
      <c r="AG22" s="43">
        <f>IF(C20&gt;0,L22,"")</f>
        <v>29.346770652005752</v>
      </c>
      <c r="AH22" s="43">
        <f>O21</f>
        <v>0</v>
      </c>
      <c r="AI22" s="43">
        <f>$R$165/2</f>
        <v>906.41522996686899</v>
      </c>
      <c r="AJ22" s="43"/>
      <c r="AL22" s="9" t="s">
        <v>72</v>
      </c>
      <c r="AM22" s="43">
        <f>AS26</f>
        <v>36.133878269035051</v>
      </c>
      <c r="AN22" s="43">
        <f>AT26</f>
        <v>29.166893652293368</v>
      </c>
      <c r="AO22" s="43">
        <f>AM22-100*Panels!T7</f>
        <v>-63.317636978436198</v>
      </c>
      <c r="AP22" s="43">
        <f>AN22+100*Panels!U7</f>
        <v>39.626153424475689</v>
      </c>
      <c r="AQ22" s="107">
        <f>(AP22-AN22)/(AO22-AM22)</f>
        <v>-0.10516943604283865</v>
      </c>
      <c r="AR22" s="107">
        <f>(AP22*AM22-AN22*AO22)/(AM22-AO22)</f>
        <v>32.967073251888365</v>
      </c>
      <c r="AU22" s="43"/>
    </row>
    <row r="23" spans="1:48" s="12" customFormat="1" ht="11.25" x14ac:dyDescent="0.2">
      <c r="A23" s="5" t="s">
        <v>13</v>
      </c>
      <c r="B23" s="9">
        <f t="shared" si="2"/>
        <v>34</v>
      </c>
      <c r="C23" s="38">
        <f>C20+1</f>
        <v>2</v>
      </c>
      <c r="D23" s="112">
        <f>(Panels!C38+D26)/2</f>
        <v>31.710894455334323</v>
      </c>
      <c r="E23" s="113">
        <f>(Panels!D38+E26)/2</f>
        <v>29.578996192172241</v>
      </c>
      <c r="F23" s="114"/>
      <c r="G23" s="113">
        <f>IF(Design!$H$19="x",D23,0)</f>
        <v>0</v>
      </c>
      <c r="H23" s="113">
        <f>IF(Design!$H$19="x",E23,0)</f>
        <v>0</v>
      </c>
      <c r="I23" s="113"/>
      <c r="J23" s="113"/>
      <c r="K23" s="113">
        <f>K22</f>
        <v>33.919003093207976</v>
      </c>
      <c r="L23" s="113">
        <f>L22</f>
        <v>29.346770652005752</v>
      </c>
      <c r="M23" s="118"/>
      <c r="N23" s="113">
        <f t="shared" si="3"/>
        <v>44.853189782612965</v>
      </c>
      <c r="O23" s="113">
        <f t="shared" si="3"/>
        <v>0</v>
      </c>
      <c r="P23" s="155">
        <f t="shared" si="3"/>
        <v>254.07251126362783</v>
      </c>
      <c r="Q23" s="43">
        <f>ATAN((E22-E23)/(D22-D23))*180/PI()</f>
        <v>-6.0036948869785665</v>
      </c>
      <c r="R23" s="43"/>
      <c r="S23" s="223">
        <f t="shared" si="4"/>
        <v>127.03625563181392</v>
      </c>
      <c r="T23" s="224">
        <f t="shared" si="5"/>
        <v>-127.03625563181392</v>
      </c>
      <c r="U23" s="229">
        <f>(S23-Y23)*2</f>
        <v>5.5190216106012713E-2</v>
      </c>
      <c r="V23" s="223"/>
      <c r="W23" s="218">
        <f>IF($H$16="Par",Y23,0)+IF($H$16="Con",AB23,0)+IF($H$16="Exp",AE23,0)</f>
        <v>127.00866052376091</v>
      </c>
      <c r="X23" s="223"/>
      <c r="Y23" s="202">
        <f t="shared" si="6"/>
        <v>127.00866052376091</v>
      </c>
      <c r="Z23" s="203">
        <f t="shared" si="7"/>
        <v>-127.00866052376091</v>
      </c>
      <c r="AA23" s="223"/>
      <c r="AB23" s="202">
        <f t="shared" ref="AB23" si="10">Y23</f>
        <v>127.00866052376091</v>
      </c>
      <c r="AC23" s="203">
        <f>-AB23</f>
        <v>-127.00866052376091</v>
      </c>
      <c r="AD23" s="223"/>
      <c r="AE23" s="202">
        <f t="shared" ref="AE23" si="11">Y23</f>
        <v>127.00866052376091</v>
      </c>
      <c r="AF23" s="203">
        <f>-AE23</f>
        <v>-127.00866052376091</v>
      </c>
      <c r="AG23" s="43">
        <f>IF(C20&gt;0,L23,"")</f>
        <v>29.346770652005752</v>
      </c>
      <c r="AH23" s="43">
        <f>AH22</f>
        <v>0</v>
      </c>
      <c r="AI23" s="43">
        <f>-AI22</f>
        <v>-906.41522996686899</v>
      </c>
      <c r="AL23" s="9" t="s">
        <v>30</v>
      </c>
      <c r="AM23" s="43">
        <f>Panels!C38</f>
        <v>31.706622469069252</v>
      </c>
      <c r="AN23" s="43">
        <f>Panels!D38</f>
        <v>29.526385301123888</v>
      </c>
      <c r="AO23" s="43">
        <f>Panels!C39</f>
        <v>35.548065717529553</v>
      </c>
      <c r="AP23" s="43">
        <f>Panels!D39</f>
        <v>76.835000000000008</v>
      </c>
      <c r="AQ23" s="107">
        <f>IF(AO23&lt;&gt;AM23,(AP23-AN23)/(AO23-AM23),"")</f>
        <v>12.31532308015692</v>
      </c>
      <c r="AR23" s="107">
        <f>IF(AQ23&lt;&gt;"",(AP23*AM23-AN23*AO23)/(AM23-AO23),AM23)</f>
        <v>-360.95091418602669</v>
      </c>
      <c r="AS23" s="43">
        <f>IF(AQ23&lt;&gt;"",(AR22-AR23)/(AQ23-AQ22),AM23)</f>
        <v>31.715166441599393</v>
      </c>
      <c r="AT23" s="43">
        <f>AS23*AQ22+AR22</f>
        <v>29.631607083220594</v>
      </c>
      <c r="AU23" s="43"/>
    </row>
    <row r="24" spans="1:48" s="12" customFormat="1" ht="12" customHeight="1" x14ac:dyDescent="0.2">
      <c r="B24" s="9"/>
      <c r="D24" s="122"/>
      <c r="E24" s="123"/>
      <c r="F24" s="123"/>
      <c r="G24" s="124"/>
      <c r="H24" s="125"/>
      <c r="I24" s="125"/>
      <c r="J24" s="125"/>
      <c r="K24" s="125">
        <f>K23</f>
        <v>33.919003093207976</v>
      </c>
      <c r="L24" s="125">
        <f>L23</f>
        <v>29.346770652005752</v>
      </c>
      <c r="M24" s="187">
        <f>((D22-D23)^2+(E22-E23)^2)^0.5</f>
        <v>4.4405731423580228</v>
      </c>
      <c r="N24" s="125">
        <f>((I22-I19)^2+(J22-J19)^2)^0.5</f>
        <v>1.2541546914346694E-3</v>
      </c>
      <c r="O24" s="125">
        <f>O21+N24</f>
        <v>1.2541546914346694E-3</v>
      </c>
      <c r="P24" s="156">
        <f>((D22-D23)^2+(E22-E23)^2)^0.5*Panels!$T$114</f>
        <v>254.00078374287892</v>
      </c>
      <c r="S24" s="223">
        <f t="shared" si="4"/>
        <v>127.00039187143946</v>
      </c>
      <c r="T24" s="224">
        <f t="shared" si="5"/>
        <v>-127.00039187143946</v>
      </c>
      <c r="U24" s="229">
        <f>(S24-W24)*2</f>
        <v>-1.9945861669043552E-2</v>
      </c>
      <c r="V24" s="221"/>
      <c r="W24" s="218">
        <f>IF($H$16="Par",Y24,0)+IF($H$16="Con",AB24,0)+IF($H$16="Exp",AE24,0)</f>
        <v>127.01036480227398</v>
      </c>
      <c r="X24" s="221"/>
      <c r="Y24" s="202">
        <f t="shared" si="6"/>
        <v>127.01036480227398</v>
      </c>
      <c r="Z24" s="203">
        <f t="shared" si="7"/>
        <v>-127.01036480227398</v>
      </c>
      <c r="AA24" s="221"/>
      <c r="AB24" s="202">
        <f t="shared" ref="AB24:AB29" si="12">Y24</f>
        <v>127.01036480227398</v>
      </c>
      <c r="AC24" s="203">
        <f>-AB24</f>
        <v>-127.01036480227398</v>
      </c>
      <c r="AD24" s="221"/>
      <c r="AE24" s="202">
        <f t="shared" ref="AE24:AE29" si="13">Y24</f>
        <v>127.01036480227398</v>
      </c>
      <c r="AF24" s="203">
        <f>-AE24</f>
        <v>-127.01036480227398</v>
      </c>
      <c r="AG24" s="43">
        <f>IF(C20&gt;0,L24,"")</f>
        <v>29.346770652005752</v>
      </c>
      <c r="AJ24" s="43">
        <f>AJ21+N24</f>
        <v>1.2541546914346694E-3</v>
      </c>
    </row>
    <row r="25" spans="1:48" s="12" customFormat="1" ht="11.25" x14ac:dyDescent="0.2">
      <c r="B25" s="9"/>
      <c r="D25" s="196">
        <f>AS26</f>
        <v>36.133878269035051</v>
      </c>
      <c r="E25" s="197">
        <f>AT26</f>
        <v>29.166893652293368</v>
      </c>
      <c r="F25" s="116"/>
      <c r="G25" s="110">
        <f>IF(Design!$H$19="x",D25,0)</f>
        <v>0</v>
      </c>
      <c r="H25" s="110">
        <f>IF(Design!$H$19="x",E25,0)</f>
        <v>0</v>
      </c>
      <c r="I25" s="110">
        <f>SUM(D25:D26)/2</f>
        <v>33.924522355317222</v>
      </c>
      <c r="J25" s="110">
        <f>SUM(E25:E26)/2</f>
        <v>29.399250367756981</v>
      </c>
      <c r="K25" s="110">
        <f>IF(Design!$H$18="x",I25,0)</f>
        <v>33.924522355317222</v>
      </c>
      <c r="L25" s="110">
        <f>IF(Design!$H$18="x",J25,0)</f>
        <v>29.399250367756981</v>
      </c>
      <c r="M25" s="120"/>
      <c r="N25" s="110">
        <f t="shared" ref="N25:P25" si="14">N24</f>
        <v>1.2541546914346694E-3</v>
      </c>
      <c r="O25" s="110">
        <f t="shared" si="14"/>
        <v>1.2541546914346694E-3</v>
      </c>
      <c r="P25" s="154">
        <f t="shared" si="14"/>
        <v>254.00078374287892</v>
      </c>
      <c r="S25" s="223">
        <f t="shared" ref="S25:S27" si="15">P25/2</f>
        <v>127.00039187143946</v>
      </c>
      <c r="T25" s="224">
        <f t="shared" ref="T25:T27" si="16">-S25</f>
        <v>-127.00039187143946</v>
      </c>
      <c r="U25" s="229">
        <f t="shared" ref="U25:U39" si="17">(S25-W25)*2</f>
        <v>-1.9945861669043552E-2</v>
      </c>
      <c r="V25" s="221"/>
      <c r="W25" s="218">
        <f t="shared" ref="W25:W39" si="18">IF($H$16="Par",Y25,0)+IF($H$16="Con",AB25,0)+IF($H$16="Exp",AE25,0)</f>
        <v>127.01036480227398</v>
      </c>
      <c r="X25" s="221"/>
      <c r="Y25" s="202">
        <f t="shared" si="6"/>
        <v>127.01036480227398</v>
      </c>
      <c r="Z25" s="203">
        <f t="shared" ref="Z25:Z27" si="19">-Y25</f>
        <v>-127.01036480227398</v>
      </c>
      <c r="AA25" s="221"/>
      <c r="AB25" s="202">
        <f t="shared" si="12"/>
        <v>127.01036480227398</v>
      </c>
      <c r="AC25" s="203">
        <f t="shared" ref="AC25:AF39" si="20">-AB25</f>
        <v>-127.01036480227398</v>
      </c>
      <c r="AD25" s="221"/>
      <c r="AE25" s="202">
        <f t="shared" si="13"/>
        <v>127.01036480227398</v>
      </c>
      <c r="AF25" s="203">
        <f t="shared" si="20"/>
        <v>-127.01036480227398</v>
      </c>
      <c r="AG25" s="43">
        <f>IF(C23&gt;0,L25,"")</f>
        <v>29.399250367756981</v>
      </c>
      <c r="AH25" s="43">
        <f>O24</f>
        <v>1.2541546914346694E-3</v>
      </c>
      <c r="AI25" s="43">
        <f>$R$165/2</f>
        <v>906.41522996686899</v>
      </c>
      <c r="AJ25" s="43"/>
      <c r="AL25" s="9" t="s">
        <v>83</v>
      </c>
      <c r="AM25" s="43">
        <f>Panels!C42</f>
        <v>29.81285537892925</v>
      </c>
      <c r="AN25" s="43">
        <f>Panels!D42</f>
        <v>29.68015853775065</v>
      </c>
      <c r="AO25" s="43">
        <f>Panels!C45</f>
        <v>67.579498272542139</v>
      </c>
      <c r="AP25" s="43">
        <f>Panels!D45</f>
        <v>26.613520119269818</v>
      </c>
      <c r="AQ25" s="107">
        <f>(AP25-AN25)/(AO25-AM25)</f>
        <v>-8.1199656191825897E-2</v>
      </c>
      <c r="AR25" s="107">
        <f>(AP25*AM25-AN25*AO25)/(AM25-AO25)</f>
        <v>32.100952144616336</v>
      </c>
    </row>
    <row r="26" spans="1:48" s="12" customFormat="1" ht="11.25" x14ac:dyDescent="0.2">
      <c r="B26" s="9">
        <f t="shared" si="2"/>
        <v>33</v>
      </c>
      <c r="C26" s="38">
        <f>C23+1</f>
        <v>3</v>
      </c>
      <c r="D26" s="196">
        <f>AS23</f>
        <v>31.715166441599393</v>
      </c>
      <c r="E26" s="197">
        <f>AT23</f>
        <v>29.631607083220594</v>
      </c>
      <c r="F26" s="116"/>
      <c r="G26" s="113">
        <f>IF(Design!$H$19="x",D26,0)</f>
        <v>0</v>
      </c>
      <c r="H26" s="113">
        <f>IF(Design!$H$19="x",E26,0)</f>
        <v>0</v>
      </c>
      <c r="I26" s="113"/>
      <c r="J26" s="113"/>
      <c r="K26" s="113">
        <f>K25</f>
        <v>33.924522355317222</v>
      </c>
      <c r="L26" s="113">
        <f>L25</f>
        <v>29.399250367756981</v>
      </c>
      <c r="M26" s="118"/>
      <c r="N26" s="113">
        <f t="shared" ref="N26:P26" si="21">N25</f>
        <v>1.2541546914346694E-3</v>
      </c>
      <c r="O26" s="113">
        <f t="shared" si="21"/>
        <v>1.2541546914346694E-3</v>
      </c>
      <c r="P26" s="155">
        <f t="shared" si="21"/>
        <v>254.00078374287892</v>
      </c>
      <c r="Q26" s="43">
        <f>ATAN((E25-E26)/(D25-D26))*180/PI()</f>
        <v>-6.0036948869785745</v>
      </c>
      <c r="R26" s="43"/>
      <c r="S26" s="223">
        <f t="shared" si="15"/>
        <v>127.00039187143946</v>
      </c>
      <c r="T26" s="224">
        <f t="shared" si="16"/>
        <v>-127.00039187143946</v>
      </c>
      <c r="U26" s="229">
        <f t="shared" si="17"/>
        <v>-1.9945861669043552E-2</v>
      </c>
      <c r="V26" s="221"/>
      <c r="W26" s="218">
        <f t="shared" si="18"/>
        <v>127.01036480227398</v>
      </c>
      <c r="X26" s="221"/>
      <c r="Y26" s="202">
        <f t="shared" si="6"/>
        <v>127.01036480227398</v>
      </c>
      <c r="Z26" s="203">
        <f t="shared" si="19"/>
        <v>-127.01036480227398</v>
      </c>
      <c r="AA26" s="221"/>
      <c r="AB26" s="202">
        <f t="shared" si="12"/>
        <v>127.01036480227398</v>
      </c>
      <c r="AC26" s="203">
        <f t="shared" si="20"/>
        <v>-127.01036480227398</v>
      </c>
      <c r="AD26" s="221"/>
      <c r="AE26" s="202">
        <f t="shared" si="13"/>
        <v>127.01036480227398</v>
      </c>
      <c r="AF26" s="203">
        <f t="shared" si="20"/>
        <v>-127.01036480227398</v>
      </c>
      <c r="AG26" s="43">
        <f>IF(C23&gt;0,L26,"")</f>
        <v>29.399250367756981</v>
      </c>
      <c r="AH26" s="43">
        <f>AH25</f>
        <v>1.2541546914346694E-3</v>
      </c>
      <c r="AI26" s="43">
        <f>-AI25</f>
        <v>-906.41522996686899</v>
      </c>
      <c r="AL26" s="9" t="s">
        <v>132</v>
      </c>
      <c r="AM26" s="43">
        <f>Panels!C51</f>
        <v>36.145462410396654</v>
      </c>
      <c r="AN26" s="43">
        <f>Panels!D51</f>
        <v>29.256513025873851</v>
      </c>
      <c r="AO26" s="43">
        <f>Panels!C50</f>
        <v>41.190161894408035</v>
      </c>
      <c r="AP26" s="43">
        <f>Panels!D50</f>
        <v>68.284248750633637</v>
      </c>
      <c r="AQ26" s="107">
        <f>(AP26-AN26)/(AO26-AM26)</f>
        <v>7.7363846644292469</v>
      </c>
      <c r="AR26" s="107">
        <f>(AP26*AM26-AN26*AO26)/(AM26-AO26)</f>
        <v>-250.37868805462261</v>
      </c>
      <c r="AS26" s="43">
        <f>(AR25-AR26)/(AQ26-AQ25)</f>
        <v>36.133878269035051</v>
      </c>
      <c r="AT26" s="43">
        <f>AS26*AQ26+AR26</f>
        <v>29.166893652293368</v>
      </c>
      <c r="AU26" s="43">
        <f>ATAN(AQ26)*180/PI()</f>
        <v>82.634823069801882</v>
      </c>
      <c r="AV26" s="43">
        <f>90-AU26</f>
        <v>7.3651769301981176</v>
      </c>
    </row>
    <row r="27" spans="1:48" s="12" customFormat="1" ht="11.25" x14ac:dyDescent="0.2">
      <c r="B27" s="9"/>
      <c r="D27" s="115"/>
      <c r="E27" s="116"/>
      <c r="F27" s="116"/>
      <c r="G27" s="124"/>
      <c r="H27" s="125"/>
      <c r="I27" s="125"/>
      <c r="J27" s="125"/>
      <c r="K27" s="125">
        <f>K26</f>
        <v>33.924522355317222</v>
      </c>
      <c r="L27" s="125">
        <f>L26</f>
        <v>29.399250367756981</v>
      </c>
      <c r="M27" s="187">
        <f>((D25-D26)^2+(E25-E26)^2)^0.5</f>
        <v>4.4430814517408894</v>
      </c>
      <c r="N27" s="125">
        <f>((I25-I22)^2+(J25-J22)^2)^0.5</f>
        <v>5.2769146473676642E-2</v>
      </c>
      <c r="O27" s="125">
        <f>O24+N27</f>
        <v>5.4023301165111309E-2</v>
      </c>
      <c r="P27" s="156">
        <f>((D25-D26)^2+(E25-E26)^2)^0.5*Panels!$T$114</f>
        <v>254.14425903957888</v>
      </c>
      <c r="S27" s="223">
        <f t="shared" si="15"/>
        <v>127.07212951978944</v>
      </c>
      <c r="T27" s="224">
        <f t="shared" si="16"/>
        <v>-127.07212951978944</v>
      </c>
      <c r="U27" s="229">
        <f t="shared" si="17"/>
        <v>-1.9887199460299598E-2</v>
      </c>
      <c r="V27" s="221"/>
      <c r="W27" s="218">
        <f t="shared" si="18"/>
        <v>127.08207311951959</v>
      </c>
      <c r="X27" s="221"/>
      <c r="Y27" s="202">
        <f t="shared" si="6"/>
        <v>127.08207311951959</v>
      </c>
      <c r="Z27" s="203">
        <f t="shared" si="19"/>
        <v>-127.08207311951959</v>
      </c>
      <c r="AA27" s="221"/>
      <c r="AB27" s="202">
        <f t="shared" si="12"/>
        <v>127.08207311951959</v>
      </c>
      <c r="AC27" s="203">
        <f t="shared" si="20"/>
        <v>-127.08207311951959</v>
      </c>
      <c r="AD27" s="221"/>
      <c r="AE27" s="202">
        <f t="shared" si="13"/>
        <v>127.08207311951959</v>
      </c>
      <c r="AF27" s="203">
        <f t="shared" si="20"/>
        <v>-127.08207311951959</v>
      </c>
      <c r="AG27" s="43">
        <f>IF(C23&gt;0,L27,"")</f>
        <v>29.399250367756981</v>
      </c>
      <c r="AJ27" s="43">
        <f>AJ24+N27</f>
        <v>5.4023301165111309E-2</v>
      </c>
    </row>
    <row r="28" spans="1:48" s="12" customFormat="1" ht="11.25" x14ac:dyDescent="0.2">
      <c r="B28" s="9"/>
      <c r="D28" s="109">
        <f>AS29</f>
        <v>38.427816631380324</v>
      </c>
      <c r="E28" s="109">
        <f>AT29</f>
        <v>46.913683219887275</v>
      </c>
      <c r="F28" s="111"/>
      <c r="G28" s="110">
        <f>IF(Design!$H$19="x",D28,0)</f>
        <v>0</v>
      </c>
      <c r="H28" s="110">
        <f>IF(Design!$H$19="x",E28,0)</f>
        <v>0</v>
      </c>
      <c r="I28" s="110">
        <f>SUM(D28:D29)/2</f>
        <v>35.795619092141031</v>
      </c>
      <c r="J28" s="110">
        <f>SUM(E28:E29)/2</f>
        <v>47.190509950642422</v>
      </c>
      <c r="K28" s="110">
        <f>IF(Design!$H$18="x",I28,0)</f>
        <v>35.795619092141031</v>
      </c>
      <c r="L28" s="110">
        <f>IF(Design!$H$18="x",J28,0)</f>
        <v>47.190509950642422</v>
      </c>
      <c r="M28" s="120"/>
      <c r="N28" s="110">
        <f t="shared" ref="N28:P28" si="22">N27</f>
        <v>5.2769146473676642E-2</v>
      </c>
      <c r="O28" s="110">
        <f t="shared" si="22"/>
        <v>5.4023301165111309E-2</v>
      </c>
      <c r="P28" s="154">
        <f t="shared" si="22"/>
        <v>254.14425903957888</v>
      </c>
      <c r="S28" s="223">
        <f t="shared" ref="S28:S30" si="23">P28/2</f>
        <v>127.07212951978944</v>
      </c>
      <c r="T28" s="224">
        <f t="shared" ref="T28:T30" si="24">-S28</f>
        <v>-127.07212951978944</v>
      </c>
      <c r="U28" s="229">
        <f t="shared" si="17"/>
        <v>-1.9887199460299598E-2</v>
      </c>
      <c r="V28" s="221"/>
      <c r="W28" s="218">
        <f t="shared" si="18"/>
        <v>127.08207311951959</v>
      </c>
      <c r="X28" s="221"/>
      <c r="Y28" s="202">
        <f t="shared" si="6"/>
        <v>127.08207311951959</v>
      </c>
      <c r="Z28" s="203">
        <f t="shared" ref="Z28:Z30" si="25">-Y28</f>
        <v>-127.08207311951959</v>
      </c>
      <c r="AA28" s="221"/>
      <c r="AB28" s="202">
        <f t="shared" si="12"/>
        <v>127.08207311951959</v>
      </c>
      <c r="AC28" s="203">
        <f t="shared" si="20"/>
        <v>-127.08207311951959</v>
      </c>
      <c r="AD28" s="221"/>
      <c r="AE28" s="202">
        <f t="shared" si="13"/>
        <v>127.08207311951959</v>
      </c>
      <c r="AF28" s="203">
        <f t="shared" si="20"/>
        <v>-127.08207311951959</v>
      </c>
      <c r="AG28" s="43">
        <f>IF(C26&gt;0,L28,"")</f>
        <v>47.190509950642422</v>
      </c>
      <c r="AH28" s="43">
        <f>O27</f>
        <v>5.4023301165111309E-2</v>
      </c>
      <c r="AI28" s="43">
        <f>$R$165/2</f>
        <v>906.41522996686899</v>
      </c>
      <c r="AJ28" s="43"/>
      <c r="AL28" s="9" t="s">
        <v>30</v>
      </c>
      <c r="AM28" s="43">
        <f>AS17</f>
        <v>33.163421552901738</v>
      </c>
      <c r="AN28" s="43">
        <f>AT17</f>
        <v>47.467336681397569</v>
      </c>
      <c r="AO28" s="43">
        <f>AM28+100*Panels!T7</f>
        <v>132.61493680037299</v>
      </c>
      <c r="AP28" s="43">
        <f>AN28-100*Panels!U7</f>
        <v>37.008076909215248</v>
      </c>
      <c r="AQ28" s="107">
        <f>(AP28-AN28)/(AO28-AM28)</f>
        <v>-0.10516943604283865</v>
      </c>
      <c r="AR28" s="107">
        <f>(AP28*AM28-AN28*AO28)/(AM28-AO28)</f>
        <v>50.955115023367163</v>
      </c>
    </row>
    <row r="29" spans="1:48" s="12" customFormat="1" ht="11.25" x14ac:dyDescent="0.2">
      <c r="A29" s="5" t="s">
        <v>41</v>
      </c>
      <c r="B29" s="9">
        <f t="shared" si="2"/>
        <v>32</v>
      </c>
      <c r="C29" s="38">
        <f>C26+1</f>
        <v>4</v>
      </c>
      <c r="D29" s="112">
        <f>AS17</f>
        <v>33.163421552901738</v>
      </c>
      <c r="E29" s="113">
        <f>AT17</f>
        <v>47.467336681397569</v>
      </c>
      <c r="F29" s="114"/>
      <c r="G29" s="113">
        <f>IF(Design!$H$19="x",D29,0)</f>
        <v>0</v>
      </c>
      <c r="H29" s="113">
        <f>IF(Design!$H$19="x",E29,0)</f>
        <v>0</v>
      </c>
      <c r="I29" s="113"/>
      <c r="J29" s="113"/>
      <c r="K29" s="113">
        <f>K28</f>
        <v>35.795619092141031</v>
      </c>
      <c r="L29" s="113">
        <f>L28</f>
        <v>47.190509950642422</v>
      </c>
      <c r="M29" s="118"/>
      <c r="N29" s="113">
        <f t="shared" ref="N29:P29" si="26">N28</f>
        <v>5.2769146473676642E-2</v>
      </c>
      <c r="O29" s="113">
        <f t="shared" si="26"/>
        <v>5.4023301165111309E-2</v>
      </c>
      <c r="P29" s="155">
        <f t="shared" si="26"/>
        <v>254.14425903957888</v>
      </c>
      <c r="Q29" s="43">
        <f>ATAN((E28-E29)/(D28-D29))*180/PI()</f>
        <v>-6.003694886978673</v>
      </c>
      <c r="R29" s="43"/>
      <c r="S29" s="223">
        <f t="shared" si="23"/>
        <v>127.07212951978944</v>
      </c>
      <c r="T29" s="224">
        <f t="shared" si="24"/>
        <v>-127.07212951978944</v>
      </c>
      <c r="U29" s="229">
        <f t="shared" si="17"/>
        <v>-1.9887199460299598E-2</v>
      </c>
      <c r="V29" s="221"/>
      <c r="W29" s="218">
        <f t="shared" si="18"/>
        <v>127.08207311951959</v>
      </c>
      <c r="X29" s="221"/>
      <c r="Y29" s="202">
        <f t="shared" si="6"/>
        <v>127.08207311951959</v>
      </c>
      <c r="Z29" s="203">
        <f t="shared" si="25"/>
        <v>-127.08207311951959</v>
      </c>
      <c r="AA29" s="221"/>
      <c r="AB29" s="202">
        <f t="shared" si="12"/>
        <v>127.08207311951959</v>
      </c>
      <c r="AC29" s="203">
        <f t="shared" si="20"/>
        <v>-127.08207311951959</v>
      </c>
      <c r="AD29" s="221"/>
      <c r="AE29" s="202">
        <f t="shared" si="13"/>
        <v>127.08207311951959</v>
      </c>
      <c r="AF29" s="203">
        <f t="shared" si="20"/>
        <v>-127.08207311951959</v>
      </c>
      <c r="AG29" s="43">
        <f>IF(C26&gt;0,L29,"")</f>
        <v>47.190509950642422</v>
      </c>
      <c r="AH29" s="43">
        <f>AH28</f>
        <v>5.4023301165111309E-2</v>
      </c>
      <c r="AI29" s="43">
        <f>-AI28</f>
        <v>-906.41522996686899</v>
      </c>
      <c r="AL29" s="9" t="s">
        <v>132</v>
      </c>
      <c r="AM29" s="43">
        <f>Panels!C51</f>
        <v>36.145462410396654</v>
      </c>
      <c r="AN29" s="43">
        <f>Panels!D51</f>
        <v>29.256513025873851</v>
      </c>
      <c r="AO29" s="43">
        <f>Panels!C50</f>
        <v>41.190161894408035</v>
      </c>
      <c r="AP29" s="43">
        <f>Panels!D50</f>
        <v>68.284248750633637</v>
      </c>
      <c r="AQ29" s="107">
        <f>IF(AO29&lt;&gt;AM29,(AP29-AN29)/(AO29-AM29),"")</f>
        <v>7.7363846644292469</v>
      </c>
      <c r="AR29" s="107">
        <f>IF(AQ29&lt;&gt;"",(AP29*AM29-AN29*AO29)/(AM29-AO29),AM29)</f>
        <v>-250.37868805462261</v>
      </c>
      <c r="AS29" s="43">
        <f>IF(AQ29&lt;&gt;"",(AR28-AR29)/(AQ29-AQ28),AM29)</f>
        <v>38.427816631380324</v>
      </c>
      <c r="AT29" s="43">
        <f>AS29*AQ28+AR28</f>
        <v>46.913683219887275</v>
      </c>
    </row>
    <row r="30" spans="1:48" s="12" customFormat="1" ht="11.25" x14ac:dyDescent="0.2">
      <c r="A30" s="9"/>
      <c r="B30" s="9"/>
      <c r="D30" s="122"/>
      <c r="E30" s="123"/>
      <c r="F30" s="123"/>
      <c r="G30" s="124"/>
      <c r="H30" s="125"/>
      <c r="I30" s="125"/>
      <c r="J30" s="125"/>
      <c r="K30" s="125">
        <f>K29</f>
        <v>35.795619092141031</v>
      </c>
      <c r="L30" s="125">
        <f>L29</f>
        <v>47.190509950642422</v>
      </c>
      <c r="M30" s="187">
        <f>((D28-D29)^2+(E28-E29)^2)^0.5</f>
        <v>5.2934287279372985</v>
      </c>
      <c r="N30" s="125">
        <f>((I28-I25)^2+(J28-J25)^2)^0.5</f>
        <v>17.889380105083735</v>
      </c>
      <c r="O30" s="125">
        <f>O27+N30</f>
        <v>17.943403406248844</v>
      </c>
      <c r="P30" s="156">
        <f>((D28-D29)^2+(E28-E29)^2)^0.5*Panels!$T$114</f>
        <v>302.78412323801348</v>
      </c>
      <c r="S30" s="223">
        <f t="shared" si="23"/>
        <v>151.39206161900674</v>
      </c>
      <c r="T30" s="224">
        <f t="shared" si="24"/>
        <v>-151.39206161900674</v>
      </c>
      <c r="U30" s="229">
        <f t="shared" si="17"/>
        <v>0</v>
      </c>
      <c r="V30" s="221"/>
      <c r="W30" s="218">
        <f t="shared" si="18"/>
        <v>151.39206161900674</v>
      </c>
      <c r="X30" s="221"/>
      <c r="Y30" s="202">
        <f t="shared" si="6"/>
        <v>151.39206161900674</v>
      </c>
      <c r="Z30" s="203">
        <f t="shared" si="25"/>
        <v>-151.39206161900674</v>
      </c>
      <c r="AA30" s="221"/>
      <c r="AB30" s="202">
        <f>Y30</f>
        <v>151.39206161900674</v>
      </c>
      <c r="AC30" s="203">
        <f t="shared" si="20"/>
        <v>-151.39206161900674</v>
      </c>
      <c r="AD30" s="221"/>
      <c r="AE30" s="202">
        <f>Y30</f>
        <v>151.39206161900674</v>
      </c>
      <c r="AF30" s="203">
        <f t="shared" si="20"/>
        <v>-151.39206161900674</v>
      </c>
      <c r="AG30" s="43">
        <f>IF(C26&gt;0,L30,"")</f>
        <v>47.190509950642422</v>
      </c>
      <c r="AJ30" s="43">
        <f>AJ27+N30</f>
        <v>17.943403406248844</v>
      </c>
    </row>
    <row r="31" spans="1:48" s="12" customFormat="1" ht="11.25" x14ac:dyDescent="0.2">
      <c r="B31" s="9"/>
      <c r="C31" s="9"/>
      <c r="D31" s="112">
        <f>Panels!C50</f>
        <v>41.190161894408035</v>
      </c>
      <c r="E31" s="113">
        <f>Panels!D50</f>
        <v>68.284248750633637</v>
      </c>
      <c r="F31" s="114"/>
      <c r="G31" s="113">
        <f>IF(Design!$H$19="x",D31,0)</f>
        <v>0</v>
      </c>
      <c r="H31" s="113">
        <f>IF(Design!$H$19="x",E31,0)</f>
        <v>0</v>
      </c>
      <c r="I31" s="113">
        <f>SUM(D31:D32)/2</f>
        <v>38.048781292343989</v>
      </c>
      <c r="J31" s="113">
        <f>SUM(E31:E32)/2</f>
        <v>68.614625976948616</v>
      </c>
      <c r="K31" s="113">
        <f>IF(Design!$H$18="x",I31,0)</f>
        <v>38.048781292343989</v>
      </c>
      <c r="L31" s="113">
        <f>IF(Design!$H$18="x",J31,0)</f>
        <v>68.614625976948616</v>
      </c>
      <c r="M31" s="120"/>
      <c r="N31" s="110">
        <f t="shared" ref="N31:P31" si="27">N30</f>
        <v>17.889380105083735</v>
      </c>
      <c r="O31" s="110">
        <f t="shared" si="27"/>
        <v>17.943403406248844</v>
      </c>
      <c r="P31" s="154">
        <f t="shared" si="27"/>
        <v>302.78412323801348</v>
      </c>
      <c r="S31" s="223">
        <f t="shared" ref="S31:S39" si="28">P31/2</f>
        <v>151.39206161900674</v>
      </c>
      <c r="T31" s="224">
        <f t="shared" ref="T31:T39" si="29">-S31</f>
        <v>-151.39206161900674</v>
      </c>
      <c r="U31" s="229">
        <f t="shared" si="17"/>
        <v>0</v>
      </c>
      <c r="V31" s="221"/>
      <c r="W31" s="218">
        <f t="shared" si="18"/>
        <v>151.39206161900674</v>
      </c>
      <c r="X31" s="221"/>
      <c r="Y31" s="202">
        <f t="shared" si="6"/>
        <v>151.39206161900674</v>
      </c>
      <c r="Z31" s="203">
        <f t="shared" ref="Z31:Z39" si="30">-Y31</f>
        <v>-151.39206161900674</v>
      </c>
      <c r="AA31" s="221"/>
      <c r="AB31" s="206">
        <f t="shared" ref="AB31:AB39" si="31">PI()*($Q$11*(O31-_L2_)*2+$O$11)^2/2</f>
        <v>151.39206161900674</v>
      </c>
      <c r="AC31" s="207">
        <f t="shared" si="20"/>
        <v>-151.39206161900674</v>
      </c>
      <c r="AD31" s="221"/>
      <c r="AE31" s="208">
        <f>($H$11*EXP($S$11*(O31-$I$11)))/2</f>
        <v>151.39206161900674</v>
      </c>
      <c r="AF31" s="209">
        <f t="shared" si="20"/>
        <v>-151.39206161900674</v>
      </c>
      <c r="AG31" s="43">
        <f>IF(C29&gt;0,L31,"")</f>
        <v>68.614625976948616</v>
      </c>
      <c r="AH31" s="43">
        <f>O30</f>
        <v>17.943403406248844</v>
      </c>
      <c r="AI31" s="43">
        <f>$R$165/2</f>
        <v>906.41522996686899</v>
      </c>
      <c r="AJ31" s="43"/>
      <c r="AL31" s="9" t="s">
        <v>126</v>
      </c>
      <c r="AS31" s="43">
        <f>AU31*COS(ATAN(AQ15))</f>
        <v>0.91390733146454295</v>
      </c>
      <c r="AT31" s="43">
        <f>AU31*SIN(ATAN(AQ15))</f>
        <v>-7.4208961106109694E-2</v>
      </c>
      <c r="AU31" s="43">
        <f>Design!D39/Design!E49</f>
        <v>0.91691525257958817</v>
      </c>
    </row>
    <row r="32" spans="1:48" s="12" customFormat="1" ht="11.25" x14ac:dyDescent="0.2">
      <c r="B32" s="9">
        <f t="shared" si="2"/>
        <v>31</v>
      </c>
      <c r="C32" s="38">
        <f>C29+1</f>
        <v>5</v>
      </c>
      <c r="D32" s="112">
        <f>AS49</f>
        <v>34.90740069027995</v>
      </c>
      <c r="E32" s="113">
        <f>AT49</f>
        <v>68.94500320326361</v>
      </c>
      <c r="F32" s="114"/>
      <c r="G32" s="113">
        <f>IF(Design!$H$19="x",D32,0)</f>
        <v>0</v>
      </c>
      <c r="H32" s="113">
        <f>IF(Design!$H$19="x",E32,0)</f>
        <v>0</v>
      </c>
      <c r="I32" s="114"/>
      <c r="J32" s="114"/>
      <c r="K32" s="113">
        <f>K31</f>
        <v>38.048781292343989</v>
      </c>
      <c r="L32" s="113">
        <f>L31</f>
        <v>68.614625976948616</v>
      </c>
      <c r="M32" s="118"/>
      <c r="N32" s="113">
        <f t="shared" ref="N32:P32" si="32">N31</f>
        <v>17.889380105083735</v>
      </c>
      <c r="O32" s="113">
        <f t="shared" si="32"/>
        <v>17.943403406248844</v>
      </c>
      <c r="P32" s="155">
        <f t="shared" si="32"/>
        <v>302.78412323801348</v>
      </c>
      <c r="Q32" s="43">
        <f>ATAN((E31-E32)/(D31-D32))*180/PI()</f>
        <v>-6.0036948869785851</v>
      </c>
      <c r="R32" s="43"/>
      <c r="S32" s="223">
        <f t="shared" si="28"/>
        <v>151.39206161900674</v>
      </c>
      <c r="T32" s="224">
        <f t="shared" si="29"/>
        <v>-151.39206161900674</v>
      </c>
      <c r="U32" s="229">
        <f t="shared" si="17"/>
        <v>0</v>
      </c>
      <c r="V32" s="221"/>
      <c r="W32" s="218">
        <f t="shared" si="18"/>
        <v>151.39206161900674</v>
      </c>
      <c r="X32" s="221"/>
      <c r="Y32" s="202">
        <f t="shared" si="6"/>
        <v>151.39206161900674</v>
      </c>
      <c r="Z32" s="203">
        <f t="shared" si="30"/>
        <v>-151.39206161900674</v>
      </c>
      <c r="AA32" s="221"/>
      <c r="AB32" s="206">
        <f t="shared" si="31"/>
        <v>151.39206161900674</v>
      </c>
      <c r="AC32" s="207">
        <f t="shared" si="20"/>
        <v>-151.39206161900674</v>
      </c>
      <c r="AD32" s="221"/>
      <c r="AE32" s="208">
        <f t="shared" ref="AE32:AE39" si="33">($H$11*EXP($S$11*(O32-$I$11)))/2</f>
        <v>151.39206161900674</v>
      </c>
      <c r="AF32" s="209">
        <f t="shared" si="20"/>
        <v>-151.39206161900674</v>
      </c>
      <c r="AG32" s="43">
        <f>IF(C29&gt;0,L32,"")</f>
        <v>68.614625976948616</v>
      </c>
      <c r="AH32" s="43">
        <f>AH31</f>
        <v>17.943403406248844</v>
      </c>
      <c r="AI32" s="43">
        <f>-AI31</f>
        <v>-906.41522996686899</v>
      </c>
    </row>
    <row r="33" spans="2:46" s="12" customFormat="1" ht="11.25" x14ac:dyDescent="0.2">
      <c r="B33" s="9"/>
      <c r="C33" s="9"/>
      <c r="D33" s="127"/>
      <c r="E33" s="128"/>
      <c r="F33" s="128"/>
      <c r="G33" s="128"/>
      <c r="H33" s="128"/>
      <c r="I33" s="128"/>
      <c r="J33" s="128"/>
      <c r="K33" s="125">
        <f>K32</f>
        <v>38.048781292343989</v>
      </c>
      <c r="L33" s="125">
        <f>L32</f>
        <v>68.614625976948616</v>
      </c>
      <c r="M33" s="187">
        <f>((D31-D32)^2+(E31-E32)^2)^0.5</f>
        <v>6.3174112415424828</v>
      </c>
      <c r="N33" s="125">
        <f>((I31-I28)^2+(J31-J28)^2)^0.5</f>
        <v>21.542272104145685</v>
      </c>
      <c r="O33" s="125">
        <f>O30+N33</f>
        <v>39.485675510394529</v>
      </c>
      <c r="P33" s="156">
        <f>((D31-D32)^2+(E31-E32)^2)^0.5*Panels!$T$114</f>
        <v>361.35592301623001</v>
      </c>
      <c r="S33" s="223">
        <f t="shared" si="28"/>
        <v>180.677961508115</v>
      </c>
      <c r="T33" s="224">
        <f t="shared" si="29"/>
        <v>-180.677961508115</v>
      </c>
      <c r="U33" s="229">
        <f t="shared" si="17"/>
        <v>2.3948032835676258E-2</v>
      </c>
      <c r="V33" s="221"/>
      <c r="W33" s="218">
        <f t="shared" si="18"/>
        <v>180.66598749169717</v>
      </c>
      <c r="X33" s="221"/>
      <c r="Y33" s="202">
        <f t="shared" si="6"/>
        <v>180.66598749169717</v>
      </c>
      <c r="Z33" s="203">
        <f t="shared" si="30"/>
        <v>-180.66598749169717</v>
      </c>
      <c r="AA33" s="221"/>
      <c r="AB33" s="206">
        <f t="shared" si="31"/>
        <v>172.30608917079644</v>
      </c>
      <c r="AC33" s="207">
        <f t="shared" si="20"/>
        <v>-172.30608917079644</v>
      </c>
      <c r="AD33" s="221"/>
      <c r="AE33" s="208">
        <f t="shared" si="33"/>
        <v>166.57799124181969</v>
      </c>
      <c r="AF33" s="209">
        <f t="shared" si="20"/>
        <v>-166.57799124181969</v>
      </c>
      <c r="AG33" s="43">
        <f>IF(C29&gt;0,L33,"")</f>
        <v>68.614625976948616</v>
      </c>
      <c r="AJ33" s="43">
        <f>AJ30+N33</f>
        <v>39.485675510394529</v>
      </c>
      <c r="AL33" s="12" t="s">
        <v>88</v>
      </c>
      <c r="AM33" s="167">
        <f>AM107-AS31</f>
        <v>32.249514221437195</v>
      </c>
      <c r="AN33" s="43">
        <f>AM33*AQ15+AR15</f>
        <v>47.541545642503685</v>
      </c>
      <c r="AO33" s="43">
        <f>AO107</f>
        <v>31.269654462761739</v>
      </c>
      <c r="AP33" s="43">
        <f>AO33*AQ107+AR107</f>
        <v>47.621109918024381</v>
      </c>
    </row>
    <row r="34" spans="2:46" s="12" customFormat="1" ht="11.25" x14ac:dyDescent="0.2">
      <c r="B34" s="9"/>
      <c r="C34" s="9"/>
      <c r="D34" s="109">
        <f>D31</f>
        <v>41.190161894408035</v>
      </c>
      <c r="E34" s="110">
        <f>E31</f>
        <v>68.284248750633637</v>
      </c>
      <c r="F34" s="111"/>
      <c r="G34" s="110">
        <f>IF(Design!$H$19="x",D34,0)</f>
        <v>0</v>
      </c>
      <c r="H34" s="110">
        <f>IF(Design!$H$19="x",E34,0)</f>
        <v>0</v>
      </c>
      <c r="I34" s="110">
        <f>SUM(D34:D35)/2</f>
        <v>38.170504239999701</v>
      </c>
      <c r="J34" s="110">
        <f>SUM(E34:E35)/2</f>
        <v>70.112125176132722</v>
      </c>
      <c r="K34" s="110">
        <f>IF(Design!$H$18="x",I34,0)</f>
        <v>38.170504239999701</v>
      </c>
      <c r="L34" s="110">
        <f>IF(Design!$H$18="x",J34,0)</f>
        <v>70.112125176132722</v>
      </c>
      <c r="M34" s="120"/>
      <c r="N34" s="110">
        <f t="shared" ref="N34:P34" si="34">N33</f>
        <v>21.542272104145685</v>
      </c>
      <c r="O34" s="110">
        <f t="shared" si="34"/>
        <v>39.485675510394529</v>
      </c>
      <c r="P34" s="154">
        <f t="shared" si="34"/>
        <v>361.35592301623001</v>
      </c>
      <c r="S34" s="223">
        <f t="shared" si="28"/>
        <v>180.677961508115</v>
      </c>
      <c r="T34" s="224">
        <f t="shared" si="29"/>
        <v>-180.677961508115</v>
      </c>
      <c r="U34" s="229">
        <f t="shared" si="17"/>
        <v>2.3948032835676258E-2</v>
      </c>
      <c r="V34" s="221"/>
      <c r="W34" s="218">
        <f t="shared" si="18"/>
        <v>180.66598749169717</v>
      </c>
      <c r="X34" s="221"/>
      <c r="Y34" s="202">
        <f t="shared" si="6"/>
        <v>180.66598749169717</v>
      </c>
      <c r="Z34" s="203">
        <f t="shared" si="30"/>
        <v>-180.66598749169717</v>
      </c>
      <c r="AA34" s="221"/>
      <c r="AB34" s="206">
        <f t="shared" si="31"/>
        <v>172.30608917079644</v>
      </c>
      <c r="AC34" s="207">
        <f t="shared" si="20"/>
        <v>-172.30608917079644</v>
      </c>
      <c r="AD34" s="221"/>
      <c r="AE34" s="208">
        <f t="shared" si="33"/>
        <v>166.57799124181969</v>
      </c>
      <c r="AF34" s="209">
        <f t="shared" si="20"/>
        <v>-166.57799124181969</v>
      </c>
      <c r="AG34" s="43">
        <f>IF(C32&gt;0,L34,"")</f>
        <v>70.112125176132722</v>
      </c>
      <c r="AH34" s="43">
        <f>O33</f>
        <v>39.485675510394529</v>
      </c>
      <c r="AI34" s="43">
        <f>$R$165/2</f>
        <v>906.41522996686899</v>
      </c>
      <c r="AJ34" s="43"/>
    </row>
    <row r="35" spans="2:46" s="12" customFormat="1" ht="11.25" x14ac:dyDescent="0.2">
      <c r="B35" s="9">
        <f t="shared" si="2"/>
        <v>30</v>
      </c>
      <c r="C35" s="38">
        <f>C32+1</f>
        <v>6</v>
      </c>
      <c r="D35" s="112">
        <f>(D32+AN64)/2</f>
        <v>35.150846585591367</v>
      </c>
      <c r="E35" s="113">
        <f>(E32+AO64)/2</f>
        <v>71.940001601631806</v>
      </c>
      <c r="F35" s="114"/>
      <c r="G35" s="113">
        <f>IF(Design!$H$19="x",D35,0)</f>
        <v>0</v>
      </c>
      <c r="H35" s="113">
        <f>IF(Design!$H$19="x",E35,0)</f>
        <v>0</v>
      </c>
      <c r="I35" s="114"/>
      <c r="J35" s="114"/>
      <c r="K35" s="113">
        <f>K34</f>
        <v>38.170504239999701</v>
      </c>
      <c r="L35" s="113">
        <f>L34</f>
        <v>70.112125176132722</v>
      </c>
      <c r="M35" s="118"/>
      <c r="N35" s="113">
        <f t="shared" ref="N35:P35" si="35">N34</f>
        <v>21.542272104145685</v>
      </c>
      <c r="O35" s="113">
        <f t="shared" si="35"/>
        <v>39.485675510394529</v>
      </c>
      <c r="P35" s="155">
        <f t="shared" si="35"/>
        <v>361.35592301623001</v>
      </c>
      <c r="Q35" s="43">
        <f>ATAN((E34-E35)/(D34-D35))*180/PI()</f>
        <v>-31.187597789664135</v>
      </c>
      <c r="R35" s="43"/>
      <c r="S35" s="223">
        <f t="shared" si="28"/>
        <v>180.677961508115</v>
      </c>
      <c r="T35" s="224">
        <f t="shared" si="29"/>
        <v>-180.677961508115</v>
      </c>
      <c r="U35" s="229">
        <f t="shared" si="17"/>
        <v>2.3948032835676258E-2</v>
      </c>
      <c r="V35" s="221"/>
      <c r="W35" s="218">
        <f t="shared" si="18"/>
        <v>180.66598749169717</v>
      </c>
      <c r="X35" s="221"/>
      <c r="Y35" s="202">
        <f t="shared" si="6"/>
        <v>180.66598749169717</v>
      </c>
      <c r="Z35" s="203">
        <f t="shared" si="30"/>
        <v>-180.66598749169717</v>
      </c>
      <c r="AA35" s="221"/>
      <c r="AB35" s="206">
        <f t="shared" si="31"/>
        <v>172.30608917079644</v>
      </c>
      <c r="AC35" s="207">
        <f t="shared" si="20"/>
        <v>-172.30608917079644</v>
      </c>
      <c r="AD35" s="221"/>
      <c r="AE35" s="208">
        <f t="shared" si="33"/>
        <v>166.57799124181969</v>
      </c>
      <c r="AF35" s="209">
        <f t="shared" si="20"/>
        <v>-166.57799124181969</v>
      </c>
      <c r="AG35" s="43">
        <f>IF(C32&gt;0,L35,"")</f>
        <v>70.112125176132722</v>
      </c>
      <c r="AH35" s="43">
        <f>AH34</f>
        <v>39.485675510394529</v>
      </c>
      <c r="AI35" s="43">
        <f>-AI34</f>
        <v>-906.41522996686899</v>
      </c>
      <c r="AL35" s="9"/>
      <c r="AM35" s="43"/>
      <c r="AN35" s="43"/>
      <c r="AO35" s="43"/>
      <c r="AP35" s="43"/>
      <c r="AQ35" s="107"/>
      <c r="AR35" s="107"/>
    </row>
    <row r="36" spans="2:46" s="12" customFormat="1" ht="11.25" x14ac:dyDescent="0.2">
      <c r="B36" s="9"/>
      <c r="C36" s="9"/>
      <c r="D36" s="127"/>
      <c r="E36" s="128"/>
      <c r="F36" s="128"/>
      <c r="G36" s="128"/>
      <c r="H36" s="128"/>
      <c r="I36" s="128"/>
      <c r="J36" s="128"/>
      <c r="K36" s="125">
        <f>K35</f>
        <v>38.170504239999701</v>
      </c>
      <c r="L36" s="125">
        <f>L35</f>
        <v>70.112125176132722</v>
      </c>
      <c r="M36" s="187">
        <f>((D34-D35)^2+(E34-E35)^2)^0.5</f>
        <v>7.0595933527993395</v>
      </c>
      <c r="N36" s="125">
        <f>((I34-I31)^2+(J34-J31)^2)^0.5</f>
        <v>1.5024381276921295</v>
      </c>
      <c r="O36" s="125">
        <f>O33+N36</f>
        <v>40.988113638086659</v>
      </c>
      <c r="P36" s="156">
        <f>((D34-D35)^2+(E34-E35)^2)^0.5*Panels!$T$114</f>
        <v>403.80873978012227</v>
      </c>
      <c r="S36" s="223">
        <f t="shared" si="28"/>
        <v>201.90436989006113</v>
      </c>
      <c r="T36" s="224">
        <f t="shared" si="29"/>
        <v>-201.90436989006113</v>
      </c>
      <c r="U36" s="229">
        <f t="shared" si="17"/>
        <v>38.3934199976527</v>
      </c>
      <c r="V36" s="221"/>
      <c r="W36" s="218">
        <f t="shared" si="18"/>
        <v>182.70765989123478</v>
      </c>
      <c r="X36" s="221"/>
      <c r="Y36" s="202">
        <f t="shared" si="6"/>
        <v>182.70765989123478</v>
      </c>
      <c r="Z36" s="203">
        <f t="shared" si="30"/>
        <v>-182.70765989123478</v>
      </c>
      <c r="AA36" s="221"/>
      <c r="AB36" s="206">
        <f t="shared" si="31"/>
        <v>173.81517080095477</v>
      </c>
      <c r="AC36" s="207">
        <f t="shared" si="20"/>
        <v>-173.81517080095477</v>
      </c>
      <c r="AD36" s="221"/>
      <c r="AE36" s="208">
        <f t="shared" si="33"/>
        <v>167.69225212804901</v>
      </c>
      <c r="AF36" s="209">
        <f t="shared" si="20"/>
        <v>-167.69225212804901</v>
      </c>
      <c r="AG36" s="43">
        <f>IF(C32&gt;0,L36,"")</f>
        <v>70.112125176132722</v>
      </c>
      <c r="AJ36" s="43">
        <f>AJ33+N36</f>
        <v>40.988113638086659</v>
      </c>
      <c r="AL36" s="9"/>
      <c r="AM36" s="43"/>
      <c r="AN36" s="43"/>
      <c r="AO36" s="43"/>
      <c r="AP36" s="43"/>
      <c r="AQ36" s="107"/>
      <c r="AR36" s="107"/>
      <c r="AS36" s="43"/>
      <c r="AT36" s="43"/>
    </row>
    <row r="37" spans="2:46" s="12" customFormat="1" ht="11.25" x14ac:dyDescent="0.2">
      <c r="B37" s="9"/>
      <c r="C37" s="5"/>
      <c r="D37" s="112">
        <f>D31</f>
        <v>41.190161894408035</v>
      </c>
      <c r="E37" s="113">
        <f>E31</f>
        <v>68.284248750633637</v>
      </c>
      <c r="F37" s="114"/>
      <c r="G37" s="110">
        <f>IF(Design!$H$19="x",D37,0)</f>
        <v>0</v>
      </c>
      <c r="H37" s="110">
        <f>IF(Design!$H$19="x",E37,0)</f>
        <v>0</v>
      </c>
      <c r="I37" s="113">
        <f>SUM(D37:D38)/2</f>
        <v>39.819143492501482</v>
      </c>
      <c r="J37" s="113">
        <f>SUM(E37:E38)/2</f>
        <v>71.609624375316827</v>
      </c>
      <c r="K37" s="110">
        <f>IF(Design!$H$18="x",I37,0)</f>
        <v>39.819143492501482</v>
      </c>
      <c r="L37" s="110">
        <f>IF(Design!$H$18="x",J37,0)</f>
        <v>71.609624375316827</v>
      </c>
      <c r="M37" s="120"/>
      <c r="N37" s="110">
        <f t="shared" ref="N37:P37" si="36">N36</f>
        <v>1.5024381276921295</v>
      </c>
      <c r="O37" s="110">
        <f t="shared" si="36"/>
        <v>40.988113638086659</v>
      </c>
      <c r="P37" s="154">
        <f t="shared" si="36"/>
        <v>403.80873978012227</v>
      </c>
      <c r="S37" s="223">
        <f t="shared" si="28"/>
        <v>201.90436989006113</v>
      </c>
      <c r="T37" s="224">
        <f t="shared" si="29"/>
        <v>-201.90436989006113</v>
      </c>
      <c r="U37" s="229">
        <f t="shared" si="17"/>
        <v>38.3934199976527</v>
      </c>
      <c r="V37" s="221"/>
      <c r="W37" s="218">
        <f t="shared" si="18"/>
        <v>182.70765989123478</v>
      </c>
      <c r="X37" s="221"/>
      <c r="Y37" s="202">
        <f t="shared" si="6"/>
        <v>182.70765989123478</v>
      </c>
      <c r="Z37" s="203">
        <f t="shared" si="30"/>
        <v>-182.70765989123478</v>
      </c>
      <c r="AA37" s="221"/>
      <c r="AB37" s="206">
        <f t="shared" si="31"/>
        <v>173.81517080095477</v>
      </c>
      <c r="AC37" s="207">
        <f t="shared" si="20"/>
        <v>-173.81517080095477</v>
      </c>
      <c r="AD37" s="221"/>
      <c r="AE37" s="208">
        <f t="shared" si="33"/>
        <v>167.69225212804901</v>
      </c>
      <c r="AF37" s="209">
        <f t="shared" si="20"/>
        <v>-167.69225212804901</v>
      </c>
      <c r="AG37" s="43">
        <f>IF(C35&gt;0,L37,"")</f>
        <v>71.609624375316827</v>
      </c>
      <c r="AH37" s="43">
        <f>O36</f>
        <v>40.988113638086659</v>
      </c>
      <c r="AI37" s="43">
        <f>$R$165/2</f>
        <v>906.41522996686899</v>
      </c>
      <c r="AJ37" s="43"/>
    </row>
    <row r="38" spans="2:46" s="12" customFormat="1" ht="11.25" x14ac:dyDescent="0.2">
      <c r="B38" s="9">
        <f t="shared" si="2"/>
        <v>29</v>
      </c>
      <c r="C38" s="38">
        <f>C35+1</f>
        <v>7</v>
      </c>
      <c r="D38" s="112">
        <f>(Panels!C32+D41)/2</f>
        <v>38.448125090594935</v>
      </c>
      <c r="E38" s="113">
        <f>Panels!D32</f>
        <v>74.935000000000002</v>
      </c>
      <c r="F38" s="114"/>
      <c r="G38" s="113">
        <f>IF(Design!$H$19="x",D38,0)</f>
        <v>0</v>
      </c>
      <c r="H38" s="113">
        <f>IF(Design!$H$19="x",E38,0)</f>
        <v>0</v>
      </c>
      <c r="I38" s="114"/>
      <c r="J38" s="114"/>
      <c r="K38" s="113">
        <f>K37</f>
        <v>39.819143492501482</v>
      </c>
      <c r="L38" s="113">
        <f>L37</f>
        <v>71.609624375316827</v>
      </c>
      <c r="M38" s="118"/>
      <c r="N38" s="113">
        <f t="shared" ref="N38:P38" si="37">N37</f>
        <v>1.5024381276921295</v>
      </c>
      <c r="O38" s="113">
        <f t="shared" si="37"/>
        <v>40.988113638086659</v>
      </c>
      <c r="P38" s="155">
        <f t="shared" si="37"/>
        <v>403.80873978012227</v>
      </c>
      <c r="Q38" s="43">
        <f>ATAN((E37-E38)/(D37-D38))*180/PI()</f>
        <v>-67.594146287059615</v>
      </c>
      <c r="R38" s="43"/>
      <c r="S38" s="223">
        <f t="shared" si="28"/>
        <v>201.90436989006113</v>
      </c>
      <c r="T38" s="224">
        <f t="shared" si="29"/>
        <v>-201.90436989006113</v>
      </c>
      <c r="U38" s="229">
        <f t="shared" si="17"/>
        <v>38.3934199976527</v>
      </c>
      <c r="V38" s="221"/>
      <c r="W38" s="218">
        <f t="shared" si="18"/>
        <v>182.70765989123478</v>
      </c>
      <c r="X38" s="221"/>
      <c r="Y38" s="202">
        <f t="shared" si="6"/>
        <v>182.70765989123478</v>
      </c>
      <c r="Z38" s="203">
        <f t="shared" si="30"/>
        <v>-182.70765989123478</v>
      </c>
      <c r="AA38" s="221"/>
      <c r="AB38" s="206">
        <f t="shared" si="31"/>
        <v>173.81517080095477</v>
      </c>
      <c r="AC38" s="207">
        <f t="shared" si="20"/>
        <v>-173.81517080095477</v>
      </c>
      <c r="AD38" s="221"/>
      <c r="AE38" s="208">
        <f t="shared" si="33"/>
        <v>167.69225212804901</v>
      </c>
      <c r="AF38" s="209">
        <f t="shared" si="20"/>
        <v>-167.69225212804901</v>
      </c>
      <c r="AG38" s="43">
        <f>IF(C35&gt;0,L38,"")</f>
        <v>71.609624375316827</v>
      </c>
      <c r="AH38" s="43">
        <f>AH37</f>
        <v>40.988113638086659</v>
      </c>
      <c r="AI38" s="43">
        <f>-AI37</f>
        <v>-906.41522996686899</v>
      </c>
      <c r="AL38" s="9"/>
      <c r="AM38" s="43"/>
      <c r="AN38" s="43"/>
      <c r="AO38" s="43"/>
      <c r="AP38" s="43"/>
      <c r="AQ38" s="43"/>
      <c r="AR38" s="43"/>
    </row>
    <row r="39" spans="2:46" s="12" customFormat="1" ht="11.25" x14ac:dyDescent="0.2">
      <c r="B39" s="9"/>
      <c r="C39" s="9"/>
      <c r="D39" s="127"/>
      <c r="E39" s="128"/>
      <c r="F39" s="128"/>
      <c r="G39" s="128"/>
      <c r="H39" s="128"/>
      <c r="I39" s="128"/>
      <c r="J39" s="128"/>
      <c r="K39" s="125">
        <f>K38</f>
        <v>39.819143492501482</v>
      </c>
      <c r="L39" s="125">
        <f>L38</f>
        <v>71.609624375316827</v>
      </c>
      <c r="M39" s="187">
        <f>((D37-D38)^2+(E37-E38)^2)^0.5</f>
        <v>7.1938347224838184</v>
      </c>
      <c r="N39" s="125">
        <f>((I37-I34)^2+(J37-J34)^2)^0.5</f>
        <v>2.2272214161251829</v>
      </c>
      <c r="O39" s="125">
        <f>O36+N39</f>
        <v>43.215335054211842</v>
      </c>
      <c r="P39" s="156">
        <f>((D37-D38)^2+(E37-E38)^2)^0.5*Panels!$T$114</f>
        <v>411.48734612607444</v>
      </c>
      <c r="S39" s="223">
        <f t="shared" si="28"/>
        <v>205.74367306303722</v>
      </c>
      <c r="T39" s="224">
        <f t="shared" si="29"/>
        <v>-205.74367306303722</v>
      </c>
      <c r="U39" s="229">
        <f t="shared" si="17"/>
        <v>40.018856620141037</v>
      </c>
      <c r="V39" s="221"/>
      <c r="W39" s="218">
        <f t="shared" si="18"/>
        <v>185.7342447529667</v>
      </c>
      <c r="X39" s="221"/>
      <c r="Y39" s="202">
        <f t="shared" si="6"/>
        <v>185.7342447529667</v>
      </c>
      <c r="Z39" s="203">
        <f t="shared" si="30"/>
        <v>-185.7342447529667</v>
      </c>
      <c r="AA39" s="221"/>
      <c r="AB39" s="206">
        <f t="shared" si="31"/>
        <v>176.06434679910456</v>
      </c>
      <c r="AC39" s="207">
        <f t="shared" si="20"/>
        <v>-176.06434679910456</v>
      </c>
      <c r="AD39" s="221"/>
      <c r="AE39" s="208">
        <f t="shared" si="33"/>
        <v>169.35776654046651</v>
      </c>
      <c r="AF39" s="209">
        <f t="shared" si="20"/>
        <v>-169.35776654046651</v>
      </c>
      <c r="AG39" s="43">
        <f>IF(C35&gt;0,L39,"")</f>
        <v>71.609624375316827</v>
      </c>
      <c r="AJ39" s="43">
        <f>AJ36+N39</f>
        <v>43.215335054211842</v>
      </c>
      <c r="AL39" s="9"/>
      <c r="AM39" s="43"/>
      <c r="AN39" s="43"/>
      <c r="AO39" s="43"/>
      <c r="AP39" s="43"/>
      <c r="AQ39" s="107"/>
      <c r="AR39" s="107"/>
      <c r="AS39" s="43"/>
      <c r="AT39" s="43"/>
    </row>
    <row r="40" spans="2:46" s="12" customFormat="1" ht="11.25" x14ac:dyDescent="0.2">
      <c r="B40" s="9"/>
      <c r="C40" s="9"/>
      <c r="D40" s="112">
        <f>D37</f>
        <v>41.190161894408035</v>
      </c>
      <c r="E40" s="113">
        <f>E37</f>
        <v>68.284248750633637</v>
      </c>
      <c r="F40" s="114"/>
      <c r="G40" s="110">
        <f>IF(Design!$H$19="x",D40,0)</f>
        <v>0</v>
      </c>
      <c r="H40" s="110">
        <f>IF(Design!$H$19="x",E40,0)</f>
        <v>0</v>
      </c>
      <c r="I40" s="113">
        <f>SUM(D40:D41)/2</f>
        <v>41.269173179034176</v>
      </c>
      <c r="J40" s="113">
        <f>SUM(E40:E41)/2</f>
        <v>71.609624375316827</v>
      </c>
      <c r="K40" s="110">
        <f>IF(Design!$H$18="x",I40,0)</f>
        <v>41.269173179034176</v>
      </c>
      <c r="L40" s="110">
        <f>IF(Design!$H$18="x",J40,0)</f>
        <v>71.609624375316827</v>
      </c>
      <c r="M40" s="120"/>
      <c r="N40" s="110">
        <f t="shared" ref="N40:P40" si="38">N39</f>
        <v>2.2272214161251829</v>
      </c>
      <c r="O40" s="110">
        <f t="shared" si="38"/>
        <v>43.215335054211842</v>
      </c>
      <c r="P40" s="154">
        <f t="shared" si="38"/>
        <v>411.48734612607444</v>
      </c>
      <c r="S40" s="223">
        <f t="shared" ref="S40:S103" si="39">P40/2</f>
        <v>205.74367306303722</v>
      </c>
      <c r="T40" s="224">
        <f t="shared" ref="T40:T103" si="40">-S40</f>
        <v>-205.74367306303722</v>
      </c>
      <c r="U40" s="229">
        <f t="shared" ref="U40:U103" si="41">(S40-W40)*2</f>
        <v>40.018856620141037</v>
      </c>
      <c r="V40" s="221"/>
      <c r="W40" s="218">
        <f t="shared" ref="W40:W103" si="42">IF($H$16="Par",Y40,0)+IF($H$16="Con",AB40,0)+IF($H$16="Exp",AE40,0)</f>
        <v>185.7342447529667</v>
      </c>
      <c r="X40" s="221"/>
      <c r="Y40" s="202">
        <f t="shared" ref="Y40:Y103" si="43">((_S3_-_S2_)*(O40-_L2_)/(_L3_-_L2_)+_S2_)/2</f>
        <v>185.7342447529667</v>
      </c>
      <c r="Z40" s="203">
        <f t="shared" ref="Z40:Z103" si="44">-Y40</f>
        <v>-185.7342447529667</v>
      </c>
      <c r="AA40" s="221"/>
      <c r="AB40" s="206">
        <f t="shared" ref="AB40:AB103" si="45">PI()*($Q$11*(O40-_L2_)*2+$O$11)^2/2</f>
        <v>176.06434679910456</v>
      </c>
      <c r="AC40" s="207">
        <f t="shared" ref="AC40:AC103" si="46">-AB40</f>
        <v>-176.06434679910456</v>
      </c>
      <c r="AD40" s="221"/>
      <c r="AE40" s="208">
        <f t="shared" ref="AE40:AE103" si="47">($H$11*EXP($S$11*(O40-$I$11)))/2</f>
        <v>169.35776654046651</v>
      </c>
      <c r="AF40" s="209">
        <f t="shared" ref="AF40:AF103" si="48">-AE40</f>
        <v>-169.35776654046651</v>
      </c>
      <c r="AG40" s="43">
        <f>IF(C38&gt;0,L40,"")</f>
        <v>71.609624375316827</v>
      </c>
      <c r="AH40" s="43">
        <f>O39</f>
        <v>43.215335054211842</v>
      </c>
      <c r="AI40" s="43">
        <f>$R$165/2</f>
        <v>906.41522996686899</v>
      </c>
      <c r="AJ40" s="43"/>
    </row>
    <row r="41" spans="2:46" s="12" customFormat="1" ht="11.25" x14ac:dyDescent="0.2">
      <c r="B41" s="9">
        <f t="shared" si="2"/>
        <v>28</v>
      </c>
      <c r="C41" s="38">
        <f>C38+1</f>
        <v>8</v>
      </c>
      <c r="D41" s="112">
        <f>D40+(E41-E40)*Panels!Y5</f>
        <v>41.348184463660317</v>
      </c>
      <c r="E41" s="113">
        <f>E38</f>
        <v>74.935000000000002</v>
      </c>
      <c r="F41" s="114"/>
      <c r="G41" s="113">
        <f>IF(Design!$H$19="x",D41,0)</f>
        <v>0</v>
      </c>
      <c r="H41" s="113">
        <f>IF(Design!$H$19="x",E41,0)</f>
        <v>0</v>
      </c>
      <c r="I41" s="114"/>
      <c r="J41" s="114"/>
      <c r="K41" s="113">
        <f>K40</f>
        <v>41.269173179034176</v>
      </c>
      <c r="L41" s="113">
        <f>L40</f>
        <v>71.609624375316827</v>
      </c>
      <c r="M41" s="118"/>
      <c r="N41" s="113">
        <f t="shared" ref="N41:P41" si="49">N40</f>
        <v>2.2272214161251829</v>
      </c>
      <c r="O41" s="113">
        <f t="shared" si="49"/>
        <v>43.215335054211842</v>
      </c>
      <c r="P41" s="155">
        <f t="shared" si="49"/>
        <v>411.48734612607444</v>
      </c>
      <c r="Q41" s="43">
        <f>ATAN((E40-E41)/(D40-D41))*180/PI()</f>
        <v>88.638902173829109</v>
      </c>
      <c r="R41" s="43"/>
      <c r="S41" s="223">
        <f t="shared" si="39"/>
        <v>205.74367306303722</v>
      </c>
      <c r="T41" s="224">
        <f t="shared" si="40"/>
        <v>-205.74367306303722</v>
      </c>
      <c r="U41" s="229">
        <f t="shared" si="41"/>
        <v>40.018856620141037</v>
      </c>
      <c r="V41" s="221"/>
      <c r="W41" s="218">
        <f t="shared" si="42"/>
        <v>185.7342447529667</v>
      </c>
      <c r="X41" s="221"/>
      <c r="Y41" s="202">
        <f t="shared" si="43"/>
        <v>185.7342447529667</v>
      </c>
      <c r="Z41" s="203">
        <f t="shared" si="44"/>
        <v>-185.7342447529667</v>
      </c>
      <c r="AA41" s="221"/>
      <c r="AB41" s="206">
        <f t="shared" si="45"/>
        <v>176.06434679910456</v>
      </c>
      <c r="AC41" s="207">
        <f t="shared" si="46"/>
        <v>-176.06434679910456</v>
      </c>
      <c r="AD41" s="221"/>
      <c r="AE41" s="208">
        <f t="shared" si="47"/>
        <v>169.35776654046651</v>
      </c>
      <c r="AF41" s="209">
        <f t="shared" si="48"/>
        <v>-169.35776654046651</v>
      </c>
      <c r="AG41" s="43">
        <f>IF(C38&gt;0,L41,"")</f>
        <v>71.609624375316827</v>
      </c>
      <c r="AH41" s="43">
        <f>AH40</f>
        <v>43.215335054211842</v>
      </c>
      <c r="AI41" s="43">
        <f>-AI40</f>
        <v>-906.41522996686899</v>
      </c>
    </row>
    <row r="42" spans="2:46" s="12" customFormat="1" ht="11.25" x14ac:dyDescent="0.2">
      <c r="B42" s="9"/>
      <c r="C42" s="9"/>
      <c r="D42" s="127"/>
      <c r="E42" s="128"/>
      <c r="F42" s="128"/>
      <c r="G42" s="128"/>
      <c r="H42" s="128"/>
      <c r="I42" s="128"/>
      <c r="J42" s="128"/>
      <c r="K42" s="125">
        <f>K41</f>
        <v>41.269173179034176</v>
      </c>
      <c r="L42" s="125">
        <f>L41</f>
        <v>71.609624375316827</v>
      </c>
      <c r="M42" s="187">
        <f>((D40-D41)^2+(E40-E41)^2)^0.5</f>
        <v>6.6526283011559695</v>
      </c>
      <c r="N42" s="125">
        <f>((I40-I37)^2+(J40-J37)^2)^0.5</f>
        <v>1.4500296865326945</v>
      </c>
      <c r="O42" s="125">
        <f>O39+N42</f>
        <v>44.665364740744536</v>
      </c>
      <c r="P42" s="156">
        <f>((D40-D41)^2+(E40-E41)^2)^0.5*Panels!$T$114</f>
        <v>380.53033882612146</v>
      </c>
      <c r="S42" s="223">
        <f t="shared" si="39"/>
        <v>190.26516941306073</v>
      </c>
      <c r="T42" s="224">
        <f t="shared" si="40"/>
        <v>-190.26516941306073</v>
      </c>
      <c r="U42" s="229">
        <f t="shared" si="41"/>
        <v>5.1209408262702141</v>
      </c>
      <c r="V42" s="221"/>
      <c r="W42" s="218">
        <f t="shared" si="42"/>
        <v>187.70469899992563</v>
      </c>
      <c r="X42" s="221"/>
      <c r="Y42" s="202">
        <f t="shared" si="43"/>
        <v>187.70469899992563</v>
      </c>
      <c r="Z42" s="203">
        <f t="shared" si="44"/>
        <v>-187.70469899992563</v>
      </c>
      <c r="AA42" s="221"/>
      <c r="AB42" s="206">
        <f t="shared" si="45"/>
        <v>177.53644097662803</v>
      </c>
      <c r="AC42" s="207">
        <f t="shared" si="46"/>
        <v>-177.53644097662803</v>
      </c>
      <c r="AD42" s="221"/>
      <c r="AE42" s="208">
        <f t="shared" si="47"/>
        <v>170.45097787648601</v>
      </c>
      <c r="AF42" s="209">
        <f t="shared" si="48"/>
        <v>-170.45097787648601</v>
      </c>
      <c r="AG42" s="43">
        <f>IF(C38&gt;0,L42,"")</f>
        <v>71.609624375316827</v>
      </c>
      <c r="AJ42" s="43">
        <f>AJ39+N42</f>
        <v>44.665364740744536</v>
      </c>
      <c r="AL42" s="9"/>
      <c r="AM42" s="43"/>
      <c r="AN42" s="43"/>
      <c r="AO42" s="43"/>
      <c r="AP42" s="43"/>
      <c r="AQ42" s="43"/>
      <c r="AR42" s="43"/>
    </row>
    <row r="43" spans="2:46" s="12" customFormat="1" ht="11.25" x14ac:dyDescent="0.2">
      <c r="B43" s="9"/>
      <c r="C43" s="9"/>
      <c r="D43" s="112">
        <f>Panels!C54</f>
        <v>43.074485485083265</v>
      </c>
      <c r="E43" s="113">
        <f>Panels!D54</f>
        <v>68.284248750633637</v>
      </c>
      <c r="F43" s="114"/>
      <c r="G43" s="110">
        <f>IF(Design!$H$19="x",D43,0)</f>
        <v>0</v>
      </c>
      <c r="H43" s="110">
        <f>IF(Design!$H$19="x",E43,0)</f>
        <v>0</v>
      </c>
      <c r="I43" s="113">
        <f>SUM(D43:D44)/2</f>
        <v>43.153496769709406</v>
      </c>
      <c r="J43" s="113">
        <f>SUM(E43:E44)/2</f>
        <v>71.609624375316827</v>
      </c>
      <c r="K43" s="110">
        <f>IF(Design!$H$18="x",I43,0)</f>
        <v>43.153496769709406</v>
      </c>
      <c r="L43" s="110">
        <f>IF(Design!$H$18="x",J43,0)</f>
        <v>71.609624375316827</v>
      </c>
      <c r="M43" s="120"/>
      <c r="N43" s="110">
        <f t="shared" ref="N43:P43" si="50">N42</f>
        <v>1.4500296865326945</v>
      </c>
      <c r="O43" s="110">
        <f t="shared" si="50"/>
        <v>44.665364740744536</v>
      </c>
      <c r="P43" s="154">
        <f t="shared" si="50"/>
        <v>380.53033882612146</v>
      </c>
      <c r="S43" s="223">
        <f t="shared" si="39"/>
        <v>190.26516941306073</v>
      </c>
      <c r="T43" s="224">
        <f t="shared" si="40"/>
        <v>-190.26516941306073</v>
      </c>
      <c r="U43" s="229">
        <f t="shared" si="41"/>
        <v>5.1209408262702141</v>
      </c>
      <c r="V43" s="221"/>
      <c r="W43" s="218">
        <f t="shared" si="42"/>
        <v>187.70469899992563</v>
      </c>
      <c r="X43" s="221"/>
      <c r="Y43" s="202">
        <f t="shared" si="43"/>
        <v>187.70469899992563</v>
      </c>
      <c r="Z43" s="203">
        <f t="shared" si="44"/>
        <v>-187.70469899992563</v>
      </c>
      <c r="AA43" s="221"/>
      <c r="AB43" s="206">
        <f t="shared" si="45"/>
        <v>177.53644097662803</v>
      </c>
      <c r="AC43" s="207">
        <f t="shared" si="46"/>
        <v>-177.53644097662803</v>
      </c>
      <c r="AD43" s="221"/>
      <c r="AE43" s="208">
        <f t="shared" si="47"/>
        <v>170.45097787648601</v>
      </c>
      <c r="AF43" s="209">
        <f t="shared" si="48"/>
        <v>-170.45097787648601</v>
      </c>
      <c r="AG43" s="43">
        <f>IF(C41&gt;0,L43,"")</f>
        <v>71.609624375316827</v>
      </c>
      <c r="AH43" s="43">
        <f>O42</f>
        <v>44.665364740744536</v>
      </c>
      <c r="AI43" s="43">
        <f>$R$165/2</f>
        <v>906.41522996686899</v>
      </c>
      <c r="AJ43" s="43"/>
      <c r="AL43" s="9"/>
      <c r="AM43" s="43"/>
      <c r="AN43" s="43"/>
      <c r="AO43" s="43"/>
      <c r="AP43" s="43"/>
      <c r="AQ43" s="107"/>
      <c r="AR43" s="107"/>
      <c r="AS43" s="43"/>
      <c r="AT43" s="43"/>
    </row>
    <row r="44" spans="2:46" s="12" customFormat="1" ht="11.25" x14ac:dyDescent="0.2">
      <c r="B44" s="9">
        <f t="shared" si="2"/>
        <v>27</v>
      </c>
      <c r="C44" s="38">
        <f>C41+1</f>
        <v>9</v>
      </c>
      <c r="D44" s="112">
        <f>D43+(E44-E43)*Panels!Y5</f>
        <v>43.232508054335547</v>
      </c>
      <c r="E44" s="113">
        <f>E41</f>
        <v>74.935000000000002</v>
      </c>
      <c r="F44" s="114"/>
      <c r="G44" s="113">
        <f>IF(Design!$H$19="x",D44,0)</f>
        <v>0</v>
      </c>
      <c r="H44" s="113">
        <f>IF(Design!$H$19="x",E44,0)</f>
        <v>0</v>
      </c>
      <c r="I44" s="114"/>
      <c r="J44" s="114"/>
      <c r="K44" s="113">
        <f>K43</f>
        <v>43.153496769709406</v>
      </c>
      <c r="L44" s="113">
        <f>L43</f>
        <v>71.609624375316827</v>
      </c>
      <c r="M44" s="118"/>
      <c r="N44" s="113">
        <f t="shared" ref="N44:P44" si="51">N43</f>
        <v>1.4500296865326945</v>
      </c>
      <c r="O44" s="113">
        <f t="shared" si="51"/>
        <v>44.665364740744536</v>
      </c>
      <c r="P44" s="155">
        <f t="shared" si="51"/>
        <v>380.53033882612146</v>
      </c>
      <c r="Q44" s="43">
        <f>ATAN((E43-E44)/(D43-D44))*180/PI()</f>
        <v>88.638902173829109</v>
      </c>
      <c r="R44" s="43"/>
      <c r="S44" s="223">
        <f t="shared" si="39"/>
        <v>190.26516941306073</v>
      </c>
      <c r="T44" s="224">
        <f t="shared" si="40"/>
        <v>-190.26516941306073</v>
      </c>
      <c r="U44" s="229">
        <f t="shared" si="41"/>
        <v>5.1209408262702141</v>
      </c>
      <c r="V44" s="221"/>
      <c r="W44" s="218">
        <f t="shared" si="42"/>
        <v>187.70469899992563</v>
      </c>
      <c r="X44" s="221"/>
      <c r="Y44" s="202">
        <f t="shared" si="43"/>
        <v>187.70469899992563</v>
      </c>
      <c r="Z44" s="203">
        <f t="shared" si="44"/>
        <v>-187.70469899992563</v>
      </c>
      <c r="AA44" s="221"/>
      <c r="AB44" s="206">
        <f t="shared" si="45"/>
        <v>177.53644097662803</v>
      </c>
      <c r="AC44" s="207">
        <f t="shared" si="46"/>
        <v>-177.53644097662803</v>
      </c>
      <c r="AD44" s="221"/>
      <c r="AE44" s="208">
        <f t="shared" si="47"/>
        <v>170.45097787648601</v>
      </c>
      <c r="AF44" s="209">
        <f t="shared" si="48"/>
        <v>-170.45097787648601</v>
      </c>
      <c r="AG44" s="43">
        <f>IF(C41&gt;0,L44,"")</f>
        <v>71.609624375316827</v>
      </c>
      <c r="AH44" s="43">
        <f>AH43</f>
        <v>44.665364740744536</v>
      </c>
      <c r="AI44" s="43">
        <f>-AI43</f>
        <v>-906.41522996686899</v>
      </c>
    </row>
    <row r="45" spans="2:46" s="12" customFormat="1" ht="11.25" x14ac:dyDescent="0.2">
      <c r="B45" s="9"/>
      <c r="C45" s="9"/>
      <c r="D45" s="127"/>
      <c r="E45" s="128"/>
      <c r="F45" s="128"/>
      <c r="G45" s="128"/>
      <c r="H45" s="128"/>
      <c r="I45" s="128"/>
      <c r="J45" s="128"/>
      <c r="K45" s="125">
        <f>K44</f>
        <v>43.153496769709406</v>
      </c>
      <c r="L45" s="125">
        <f>L44</f>
        <v>71.609624375316827</v>
      </c>
      <c r="M45" s="187">
        <f>((D43-D44)^2+(E43-E44)^2)^0.5</f>
        <v>6.6526283011559695</v>
      </c>
      <c r="N45" s="125">
        <f>((I43-I40)^2+(J43-J40)^2)^0.5</f>
        <v>1.8843235906752298</v>
      </c>
      <c r="O45" s="125">
        <f>O42+N45</f>
        <v>46.549688331419766</v>
      </c>
      <c r="P45" s="156">
        <f>((D43-D44)^2+(E43-E44)^2)^0.5*Panels!$T$114</f>
        <v>380.53033882612146</v>
      </c>
      <c r="S45" s="223">
        <f t="shared" si="39"/>
        <v>190.26516941306073</v>
      </c>
      <c r="T45" s="224">
        <f t="shared" si="40"/>
        <v>-190.26516941306073</v>
      </c>
      <c r="U45" s="229">
        <f t="shared" si="41"/>
        <v>-2.9697510109372161E-4</v>
      </c>
      <c r="V45" s="221"/>
      <c r="W45" s="218">
        <f t="shared" si="42"/>
        <v>190.26531790061128</v>
      </c>
      <c r="X45" s="221"/>
      <c r="Y45" s="202">
        <f t="shared" si="43"/>
        <v>190.26531790061128</v>
      </c>
      <c r="Z45" s="203">
        <f t="shared" si="44"/>
        <v>-190.26531790061128</v>
      </c>
      <c r="AA45" s="221"/>
      <c r="AB45" s="206">
        <f t="shared" si="45"/>
        <v>179.45859431376172</v>
      </c>
      <c r="AC45" s="207">
        <f t="shared" si="46"/>
        <v>-179.45859431376172</v>
      </c>
      <c r="AD45" s="221"/>
      <c r="AE45" s="208">
        <f t="shared" si="47"/>
        <v>171.88216388372874</v>
      </c>
      <c r="AF45" s="209">
        <f t="shared" si="48"/>
        <v>-171.88216388372874</v>
      </c>
      <c r="AG45" s="43">
        <f>IF(C41&gt;0,L45,"")</f>
        <v>71.609624375316827</v>
      </c>
      <c r="AJ45" s="43">
        <f>AJ42+N45</f>
        <v>46.549688331419766</v>
      </c>
      <c r="AL45" s="9"/>
      <c r="AM45" s="43"/>
      <c r="AN45" s="43"/>
      <c r="AO45" s="43"/>
      <c r="AP45" s="43"/>
      <c r="AQ45" s="107"/>
      <c r="AR45" s="107"/>
    </row>
    <row r="46" spans="2:46" s="12" customFormat="1" ht="11.25" x14ac:dyDescent="0.2">
      <c r="B46" s="9"/>
      <c r="C46" s="9"/>
      <c r="D46" s="109">
        <f>Panels!C75</f>
        <v>108.57987060189097</v>
      </c>
      <c r="E46" s="110">
        <f>Panels!D75</f>
        <v>65.168779831512538</v>
      </c>
      <c r="F46" s="111"/>
      <c r="G46" s="110">
        <f>IF(Design!$H$19="x",D46,0)</f>
        <v>0</v>
      </c>
      <c r="H46" s="110">
        <f>IF(Design!$H$19="x",E46,0)</f>
        <v>0</v>
      </c>
      <c r="I46" s="110">
        <f>SUM(D46:D47)/2</f>
        <v>108.69589382581285</v>
      </c>
      <c r="J46" s="110">
        <f>SUM(E46:E47)/2</f>
        <v>70.051889915756277</v>
      </c>
      <c r="K46" s="110">
        <f>IF(Design!$H$18="x",I46,0)</f>
        <v>108.69589382581285</v>
      </c>
      <c r="L46" s="110">
        <f>IF(Design!$H$18="x",J46,0)</f>
        <v>70.051889915756277</v>
      </c>
      <c r="M46" s="120"/>
      <c r="N46" s="110">
        <f t="shared" ref="N46:P46" si="52">N45</f>
        <v>1.8843235906752298</v>
      </c>
      <c r="O46" s="110">
        <f t="shared" si="52"/>
        <v>46.549688331419766</v>
      </c>
      <c r="P46" s="154">
        <f t="shared" si="52"/>
        <v>380.53033882612146</v>
      </c>
      <c r="S46" s="223">
        <f t="shared" si="39"/>
        <v>190.26516941306073</v>
      </c>
      <c r="T46" s="224">
        <f t="shared" si="40"/>
        <v>-190.26516941306073</v>
      </c>
      <c r="U46" s="229">
        <f t="shared" si="41"/>
        <v>-2.9697510109372161E-4</v>
      </c>
      <c r="V46" s="221"/>
      <c r="W46" s="218">
        <f t="shared" si="42"/>
        <v>190.26531790061128</v>
      </c>
      <c r="X46" s="221"/>
      <c r="Y46" s="202">
        <f t="shared" si="43"/>
        <v>190.26531790061128</v>
      </c>
      <c r="Z46" s="203">
        <f t="shared" si="44"/>
        <v>-190.26531790061128</v>
      </c>
      <c r="AA46" s="221"/>
      <c r="AB46" s="206">
        <f t="shared" si="45"/>
        <v>179.45859431376172</v>
      </c>
      <c r="AC46" s="207">
        <f t="shared" si="46"/>
        <v>-179.45859431376172</v>
      </c>
      <c r="AD46" s="221"/>
      <c r="AE46" s="208">
        <f t="shared" si="47"/>
        <v>171.88216388372874</v>
      </c>
      <c r="AF46" s="209">
        <f t="shared" si="48"/>
        <v>-171.88216388372874</v>
      </c>
      <c r="AG46" s="43">
        <f>IF(C44&gt;0,L46,"")</f>
        <v>70.051889915756277</v>
      </c>
      <c r="AH46" s="43">
        <f>O45</f>
        <v>46.549688331419766</v>
      </c>
      <c r="AI46" s="43">
        <f>$R$165/2</f>
        <v>906.41522996686899</v>
      </c>
      <c r="AJ46" s="43"/>
      <c r="AL46" s="9"/>
      <c r="AM46" s="43"/>
      <c r="AN46" s="43"/>
      <c r="AO46" s="43"/>
      <c r="AP46" s="43"/>
      <c r="AQ46" s="107"/>
      <c r="AR46" s="107"/>
      <c r="AS46" s="43"/>
      <c r="AT46" s="43"/>
    </row>
    <row r="47" spans="2:46" s="12" customFormat="1" ht="11.25" x14ac:dyDescent="0.2">
      <c r="B47" s="9">
        <f t="shared" si="2"/>
        <v>26</v>
      </c>
      <c r="C47" s="38">
        <f>C44+1</f>
        <v>10</v>
      </c>
      <c r="D47" s="112">
        <f>D46+(E47-E46)*Panels!Y5</f>
        <v>108.81191704973473</v>
      </c>
      <c r="E47" s="113">
        <f>E41</f>
        <v>74.935000000000002</v>
      </c>
      <c r="F47" s="114"/>
      <c r="G47" s="113">
        <f>IF(Design!$H$19="x",D47,0)</f>
        <v>0</v>
      </c>
      <c r="H47" s="113">
        <f>IF(Design!$H$19="x",E47,0)</f>
        <v>0</v>
      </c>
      <c r="I47" s="114"/>
      <c r="J47" s="114"/>
      <c r="K47" s="113">
        <f>K46</f>
        <v>108.69589382581285</v>
      </c>
      <c r="L47" s="113">
        <f>L46</f>
        <v>70.051889915756277</v>
      </c>
      <c r="M47" s="118"/>
      <c r="N47" s="113">
        <f t="shared" ref="N47:P47" si="53">N46</f>
        <v>1.8843235906752298</v>
      </c>
      <c r="O47" s="113">
        <f t="shared" si="53"/>
        <v>46.549688331419766</v>
      </c>
      <c r="P47" s="155">
        <f t="shared" si="53"/>
        <v>380.53033882612146</v>
      </c>
      <c r="Q47" s="43">
        <f>ATAN((E46-E47)/(D46-D47))*180/PI()</f>
        <v>88.638902173829052</v>
      </c>
      <c r="R47" s="43"/>
      <c r="S47" s="223">
        <f t="shared" si="39"/>
        <v>190.26516941306073</v>
      </c>
      <c r="T47" s="224">
        <f t="shared" si="40"/>
        <v>-190.26516941306073</v>
      </c>
      <c r="U47" s="229">
        <f t="shared" si="41"/>
        <v>-2.9697510109372161E-4</v>
      </c>
      <c r="V47" s="221"/>
      <c r="W47" s="218">
        <f t="shared" si="42"/>
        <v>190.26531790061128</v>
      </c>
      <c r="X47" s="221"/>
      <c r="Y47" s="202">
        <f t="shared" si="43"/>
        <v>190.26531790061128</v>
      </c>
      <c r="Z47" s="203">
        <f t="shared" si="44"/>
        <v>-190.26531790061128</v>
      </c>
      <c r="AA47" s="221"/>
      <c r="AB47" s="206">
        <f t="shared" si="45"/>
        <v>179.45859431376172</v>
      </c>
      <c r="AC47" s="207">
        <f t="shared" si="46"/>
        <v>-179.45859431376172</v>
      </c>
      <c r="AD47" s="221"/>
      <c r="AE47" s="208">
        <f t="shared" si="47"/>
        <v>171.88216388372874</v>
      </c>
      <c r="AF47" s="209">
        <f t="shared" si="48"/>
        <v>-171.88216388372874</v>
      </c>
      <c r="AG47" s="43">
        <f>IF(C44&gt;0,L47,"")</f>
        <v>70.051889915756277</v>
      </c>
      <c r="AH47" s="43">
        <f>AH46</f>
        <v>46.549688331419766</v>
      </c>
      <c r="AI47" s="43">
        <f>-AI46</f>
        <v>-906.41522996686899</v>
      </c>
    </row>
    <row r="48" spans="2:46" s="12" customFormat="1" ht="11.25" x14ac:dyDescent="0.2">
      <c r="B48" s="9"/>
      <c r="C48" s="9"/>
      <c r="D48" s="127"/>
      <c r="E48" s="128"/>
      <c r="F48" s="128"/>
      <c r="G48" s="128"/>
      <c r="H48" s="128"/>
      <c r="I48" s="128"/>
      <c r="J48" s="128"/>
      <c r="K48" s="125">
        <f>K47</f>
        <v>108.69589382581285</v>
      </c>
      <c r="L48" s="125">
        <f>L47</f>
        <v>70.051889915756277</v>
      </c>
      <c r="M48" s="187">
        <f>((D46-D47)^2+(E46-E47)^2)^0.5</f>
        <v>9.7689765038783989</v>
      </c>
      <c r="N48" s="125">
        <f>((I46-I43)^2+(J46-J43)^2)^0.5</f>
        <v>65.560905641292194</v>
      </c>
      <c r="O48" s="125">
        <f>O45+N48</f>
        <v>112.11059397271197</v>
      </c>
      <c r="P48" s="156">
        <f>((D46-D47)^2+(E46-E47)^2)^0.5*Panels!$T$114</f>
        <v>558.78545602184442</v>
      </c>
      <c r="S48" s="223">
        <f t="shared" si="39"/>
        <v>279.39272801092221</v>
      </c>
      <c r="T48" s="224">
        <f t="shared" si="40"/>
        <v>-279.39272801092221</v>
      </c>
      <c r="U48" s="229">
        <f t="shared" si="41"/>
        <v>7.2585532360221805E-2</v>
      </c>
      <c r="V48" s="221"/>
      <c r="W48" s="218">
        <f t="shared" si="42"/>
        <v>279.3564352447421</v>
      </c>
      <c r="X48" s="221"/>
      <c r="Y48" s="202">
        <f t="shared" si="43"/>
        <v>279.3564352447421</v>
      </c>
      <c r="Z48" s="203">
        <f t="shared" si="44"/>
        <v>-279.3564352447421</v>
      </c>
      <c r="AA48" s="221"/>
      <c r="AB48" s="206">
        <f t="shared" si="45"/>
        <v>252.77995097524141</v>
      </c>
      <c r="AC48" s="207">
        <f t="shared" si="46"/>
        <v>-252.77995097524141</v>
      </c>
      <c r="AD48" s="221"/>
      <c r="AE48" s="208">
        <f t="shared" si="47"/>
        <v>229.91879048990214</v>
      </c>
      <c r="AF48" s="209">
        <f t="shared" si="48"/>
        <v>-229.91879048990214</v>
      </c>
      <c r="AG48" s="43">
        <f>IF(C44&gt;0,L48,"")</f>
        <v>70.051889915756277</v>
      </c>
      <c r="AJ48" s="43">
        <f>AJ45+N48</f>
        <v>112.11059397271197</v>
      </c>
      <c r="AL48" s="9" t="s">
        <v>30</v>
      </c>
      <c r="AM48" s="43">
        <f>Panels!C38</f>
        <v>31.706622469069252</v>
      </c>
      <c r="AN48" s="43">
        <f>Panels!D38</f>
        <v>29.526385301123888</v>
      </c>
      <c r="AO48" s="43">
        <f>Panels!C39</f>
        <v>35.548065717529553</v>
      </c>
      <c r="AP48" s="43">
        <f>Panels!D39</f>
        <v>76.835000000000008</v>
      </c>
      <c r="AQ48" s="107">
        <f>(AP48-AN48)/(AO48-AM48)</f>
        <v>12.31532308015692</v>
      </c>
      <c r="AR48" s="107">
        <f>(AP48*AM48-AN48*AO48)/(AM48-AO48)</f>
        <v>-360.95091418602669</v>
      </c>
    </row>
    <row r="49" spans="2:46" s="12" customFormat="1" ht="11.25" x14ac:dyDescent="0.2">
      <c r="B49" s="9"/>
      <c r="C49" s="9"/>
      <c r="D49" s="112">
        <f>D46</f>
        <v>108.57987060189097</v>
      </c>
      <c r="E49" s="113">
        <f>E46</f>
        <v>65.168779831512538</v>
      </c>
      <c r="F49" s="114"/>
      <c r="G49" s="110">
        <f>IF(Design!$H$19="x",D49,0)</f>
        <v>0</v>
      </c>
      <c r="H49" s="110">
        <f>IF(Design!$H$19="x",E49,0)</f>
        <v>0</v>
      </c>
      <c r="I49" s="110">
        <f>SUM(D49:D50)/2</f>
        <v>111.18041456337917</v>
      </c>
      <c r="J49" s="110">
        <f>SUM(E49:E50)/2</f>
        <v>70.051889915756277</v>
      </c>
      <c r="K49" s="110">
        <f>IF(Design!$H$18="x",I49,0)</f>
        <v>111.18041456337917</v>
      </c>
      <c r="L49" s="110">
        <f>IF(Design!$H$18="x",J49,0)</f>
        <v>70.051889915756277</v>
      </c>
      <c r="M49" s="120"/>
      <c r="N49" s="110">
        <f t="shared" ref="N49:P49" si="54">N48</f>
        <v>65.560905641292194</v>
      </c>
      <c r="O49" s="110">
        <f t="shared" si="54"/>
        <v>112.11059397271197</v>
      </c>
      <c r="P49" s="154">
        <f t="shared" si="54"/>
        <v>558.78545602184442</v>
      </c>
      <c r="S49" s="223">
        <f t="shared" si="39"/>
        <v>279.39272801092221</v>
      </c>
      <c r="T49" s="224">
        <f t="shared" si="40"/>
        <v>-279.39272801092221</v>
      </c>
      <c r="U49" s="229">
        <f t="shared" si="41"/>
        <v>7.2585532360221805E-2</v>
      </c>
      <c r="V49" s="221"/>
      <c r="W49" s="218">
        <f t="shared" si="42"/>
        <v>279.3564352447421</v>
      </c>
      <c r="X49" s="221"/>
      <c r="Y49" s="202">
        <f t="shared" si="43"/>
        <v>279.3564352447421</v>
      </c>
      <c r="Z49" s="203">
        <f t="shared" si="44"/>
        <v>-279.3564352447421</v>
      </c>
      <c r="AA49" s="221"/>
      <c r="AB49" s="206">
        <f t="shared" si="45"/>
        <v>252.77995097524141</v>
      </c>
      <c r="AC49" s="207">
        <f t="shared" si="46"/>
        <v>-252.77995097524141</v>
      </c>
      <c r="AD49" s="221"/>
      <c r="AE49" s="208">
        <f t="shared" si="47"/>
        <v>229.91879048990214</v>
      </c>
      <c r="AF49" s="209">
        <f t="shared" si="48"/>
        <v>-229.91879048990214</v>
      </c>
      <c r="AG49" s="43">
        <f>IF(C47&gt;0,L49,"")</f>
        <v>70.051889915756277</v>
      </c>
      <c r="AH49" s="43">
        <f>O48</f>
        <v>112.11059397271197</v>
      </c>
      <c r="AI49" s="43">
        <f>$R$165/2</f>
        <v>906.41522996686899</v>
      </c>
      <c r="AJ49" s="43"/>
      <c r="AL49" s="9" t="s">
        <v>132</v>
      </c>
      <c r="AM49" s="43">
        <f>D31</f>
        <v>41.190161894408035</v>
      </c>
      <c r="AN49" s="43">
        <f>E31</f>
        <v>68.284248750633637</v>
      </c>
      <c r="AO49" s="43">
        <f>AM49-100*Panels!T7</f>
        <v>-58.261353353063214</v>
      </c>
      <c r="AP49" s="43">
        <f>AN49+100*Panels!U7</f>
        <v>78.743508522815958</v>
      </c>
      <c r="AQ49" s="107">
        <f>(AP49-AN49)/(AO49-AM49)</f>
        <v>-0.10516943604283865</v>
      </c>
      <c r="AR49" s="107">
        <f>(AP49*AM49-AN49*AO49)/(AM49-AO49)</f>
        <v>72.616194847581752</v>
      </c>
      <c r="AS49" s="43">
        <f>(AR48-AR49)/(AQ49-AQ48)</f>
        <v>34.90740069027995</v>
      </c>
      <c r="AT49" s="43">
        <f>AS49*AQ49+AR49</f>
        <v>68.94500320326361</v>
      </c>
    </row>
    <row r="50" spans="2:46" s="12" customFormat="1" ht="11.25" x14ac:dyDescent="0.2">
      <c r="B50" s="9">
        <f t="shared" si="2"/>
        <v>25</v>
      </c>
      <c r="C50" s="38">
        <f>C47+1</f>
        <v>11</v>
      </c>
      <c r="D50" s="112">
        <f>(D47+Panels!C33)/2</f>
        <v>113.78095852486737</v>
      </c>
      <c r="E50" s="113">
        <f>E47</f>
        <v>74.935000000000002</v>
      </c>
      <c r="F50" s="114"/>
      <c r="G50" s="113">
        <f>IF(Design!$H$19="x",D50,0)</f>
        <v>0</v>
      </c>
      <c r="H50" s="113">
        <f>IF(Design!$H$19="x",E50,0)</f>
        <v>0</v>
      </c>
      <c r="I50" s="114"/>
      <c r="J50" s="114"/>
      <c r="K50" s="113">
        <f>K49</f>
        <v>111.18041456337917</v>
      </c>
      <c r="L50" s="113">
        <f>L49</f>
        <v>70.051889915756277</v>
      </c>
      <c r="M50" s="118"/>
      <c r="N50" s="113">
        <f t="shared" ref="N50:P50" si="55">N49</f>
        <v>65.560905641292194</v>
      </c>
      <c r="O50" s="113">
        <f t="shared" si="55"/>
        <v>112.11059397271197</v>
      </c>
      <c r="P50" s="155">
        <f t="shared" si="55"/>
        <v>558.78545602184442</v>
      </c>
      <c r="Q50" s="43">
        <f>ATAN((E49-E50)/(D49-D50))*180/PI()</f>
        <v>61.962067591273566</v>
      </c>
      <c r="R50" s="43"/>
      <c r="S50" s="223">
        <f t="shared" si="39"/>
        <v>279.39272801092221</v>
      </c>
      <c r="T50" s="224">
        <f t="shared" si="40"/>
        <v>-279.39272801092221</v>
      </c>
      <c r="U50" s="229">
        <f t="shared" si="41"/>
        <v>7.2585532360221805E-2</v>
      </c>
      <c r="V50" s="221"/>
      <c r="W50" s="218">
        <f t="shared" si="42"/>
        <v>279.3564352447421</v>
      </c>
      <c r="X50" s="221"/>
      <c r="Y50" s="202">
        <f t="shared" si="43"/>
        <v>279.3564352447421</v>
      </c>
      <c r="Z50" s="203">
        <f t="shared" si="44"/>
        <v>-279.3564352447421</v>
      </c>
      <c r="AA50" s="221"/>
      <c r="AB50" s="206">
        <f t="shared" si="45"/>
        <v>252.77995097524141</v>
      </c>
      <c r="AC50" s="207">
        <f t="shared" si="46"/>
        <v>-252.77995097524141</v>
      </c>
      <c r="AD50" s="221"/>
      <c r="AE50" s="208">
        <f t="shared" si="47"/>
        <v>229.91879048990214</v>
      </c>
      <c r="AF50" s="209">
        <f t="shared" si="48"/>
        <v>-229.91879048990214</v>
      </c>
      <c r="AG50" s="43">
        <f>IF(C47&gt;0,L50,"")</f>
        <v>70.051889915756277</v>
      </c>
      <c r="AH50" s="43">
        <f>AH49</f>
        <v>112.11059397271197</v>
      </c>
      <c r="AI50" s="43">
        <f>-AI49</f>
        <v>-906.41522996686899</v>
      </c>
    </row>
    <row r="51" spans="2:46" s="12" customFormat="1" ht="11.25" x14ac:dyDescent="0.2">
      <c r="B51" s="9"/>
      <c r="C51" s="9"/>
      <c r="D51" s="126"/>
      <c r="E51" s="114"/>
      <c r="F51" s="114"/>
      <c r="G51" s="128"/>
      <c r="H51" s="128"/>
      <c r="I51" s="128"/>
      <c r="J51" s="128"/>
      <c r="K51" s="125">
        <f>K50</f>
        <v>111.18041456337917</v>
      </c>
      <c r="L51" s="125">
        <f>L50</f>
        <v>70.051889915756277</v>
      </c>
      <c r="M51" s="187">
        <f>((D49-D50)^2+(E49-E50)^2)^0.5</f>
        <v>11.064825889362302</v>
      </c>
      <c r="N51" s="125">
        <f>((I49-I46)^2+(J49-J46)^2)^0.5</f>
        <v>2.4845207375663279</v>
      </c>
      <c r="O51" s="125">
        <f>O48+N51</f>
        <v>114.5951147102783</v>
      </c>
      <c r="P51" s="156">
        <f>((D49-D50)^2+(E49-E50)^2)^0.5*Panels!$T$114</f>
        <v>632.90804087152367</v>
      </c>
      <c r="S51" s="223">
        <f t="shared" si="39"/>
        <v>316.45402043576183</v>
      </c>
      <c r="T51" s="224">
        <f t="shared" si="40"/>
        <v>-316.45402043576183</v>
      </c>
      <c r="U51" s="229">
        <f t="shared" si="41"/>
        <v>67.442709402152218</v>
      </c>
      <c r="V51" s="221"/>
      <c r="W51" s="218">
        <f t="shared" si="42"/>
        <v>282.73266573468572</v>
      </c>
      <c r="X51" s="221"/>
      <c r="Y51" s="202">
        <f t="shared" si="43"/>
        <v>282.73266573468572</v>
      </c>
      <c r="Z51" s="203">
        <f t="shared" si="44"/>
        <v>-282.73266573468572</v>
      </c>
      <c r="AA51" s="221"/>
      <c r="AB51" s="206">
        <f t="shared" si="45"/>
        <v>255.80495159316354</v>
      </c>
      <c r="AC51" s="207">
        <f t="shared" si="46"/>
        <v>-255.80495159316354</v>
      </c>
      <c r="AD51" s="221"/>
      <c r="AE51" s="208">
        <f t="shared" si="47"/>
        <v>232.46760042394482</v>
      </c>
      <c r="AF51" s="209">
        <f t="shared" si="48"/>
        <v>-232.46760042394482</v>
      </c>
      <c r="AG51" s="43">
        <f>IF(C47&gt;0,L51,"")</f>
        <v>70.051889915756277</v>
      </c>
      <c r="AJ51" s="43">
        <f>AJ48+N51</f>
        <v>114.5951147102783</v>
      </c>
      <c r="AL51" s="9" t="s">
        <v>119</v>
      </c>
      <c r="AM51" s="43">
        <f>Panels!C57</f>
        <v>42.984222563379923</v>
      </c>
      <c r="AN51" s="43">
        <f>Panels!D57</f>
        <v>66.386394013050818</v>
      </c>
      <c r="AO51" s="43">
        <f>Panels!C56</f>
        <v>106.59175294260481</v>
      </c>
      <c r="AP51" s="43">
        <f>Panels!D56</f>
        <v>63.361188015633054</v>
      </c>
      <c r="AQ51" s="107">
        <f>(AP51-AN51)/(AO51-AM51)</f>
        <v>-4.7560500767466339E-2</v>
      </c>
      <c r="AR51" s="107">
        <f>(AP51*AM51-AN51*AO51)/(AM51-AO51)</f>
        <v>68.430745163265385</v>
      </c>
    </row>
    <row r="52" spans="2:46" s="12" customFormat="1" ht="11.25" x14ac:dyDescent="0.2">
      <c r="B52" s="9"/>
      <c r="C52" s="9"/>
      <c r="D52" s="109">
        <f>D49</f>
        <v>108.57987060189097</v>
      </c>
      <c r="E52" s="110">
        <f>E49</f>
        <v>65.168779831512538</v>
      </c>
      <c r="F52" s="111"/>
      <c r="G52" s="110">
        <f>IF(Design!$H$19="x",D52,0)</f>
        <v>0</v>
      </c>
      <c r="H52" s="110">
        <f>IF(Design!$H$19="x",E52,0)</f>
        <v>0</v>
      </c>
      <c r="I52" s="110">
        <f>SUM(D52:D53)/2</f>
        <v>113.66493530094549</v>
      </c>
      <c r="J52" s="110">
        <f>SUM(E52:E53)/2</f>
        <v>67.6103348736344</v>
      </c>
      <c r="K52" s="110">
        <f>IF(Design!$H$18="x",I52,0)</f>
        <v>113.66493530094549</v>
      </c>
      <c r="L52" s="110">
        <f>IF(Design!$H$18="x",J52,0)</f>
        <v>67.6103348736344</v>
      </c>
      <c r="M52" s="120"/>
      <c r="N52" s="110">
        <f t="shared" ref="N52:P52" si="56">N51</f>
        <v>2.4845207375663279</v>
      </c>
      <c r="O52" s="110">
        <f t="shared" si="56"/>
        <v>114.5951147102783</v>
      </c>
      <c r="P52" s="154">
        <f t="shared" si="56"/>
        <v>632.90804087152367</v>
      </c>
      <c r="S52" s="223">
        <f t="shared" si="39"/>
        <v>316.45402043576183</v>
      </c>
      <c r="T52" s="224">
        <f t="shared" si="40"/>
        <v>-316.45402043576183</v>
      </c>
      <c r="U52" s="229">
        <f t="shared" si="41"/>
        <v>67.442709402152218</v>
      </c>
      <c r="V52" s="221"/>
      <c r="W52" s="218">
        <f t="shared" si="42"/>
        <v>282.73266573468572</v>
      </c>
      <c r="X52" s="221"/>
      <c r="Y52" s="202">
        <f t="shared" si="43"/>
        <v>282.73266573468572</v>
      </c>
      <c r="Z52" s="203">
        <f t="shared" si="44"/>
        <v>-282.73266573468572</v>
      </c>
      <c r="AA52" s="221"/>
      <c r="AB52" s="206">
        <f t="shared" si="45"/>
        <v>255.80495159316354</v>
      </c>
      <c r="AC52" s="207">
        <f t="shared" si="46"/>
        <v>-255.80495159316354</v>
      </c>
      <c r="AD52" s="221"/>
      <c r="AE52" s="208">
        <f t="shared" si="47"/>
        <v>232.46760042394482</v>
      </c>
      <c r="AF52" s="209">
        <f t="shared" si="48"/>
        <v>-232.46760042394482</v>
      </c>
      <c r="AG52" s="43">
        <f>IF(C50&gt;0,L52,"")</f>
        <v>67.6103348736344</v>
      </c>
      <c r="AH52" s="43">
        <f>O51</f>
        <v>114.5951147102783</v>
      </c>
      <c r="AI52" s="43">
        <f>$R$165/2</f>
        <v>906.41522996686899</v>
      </c>
      <c r="AJ52" s="43"/>
      <c r="AL52" s="9" t="s">
        <v>84</v>
      </c>
      <c r="AM52" s="43">
        <f>Panels!C62</f>
        <v>58.709464221163657</v>
      </c>
      <c r="AN52" s="43">
        <f>Panels!D62</f>
        <v>48.229287296147568</v>
      </c>
      <c r="AO52" s="43">
        <f>AM52+10*Panels!Y5</f>
        <v>58.947065303097581</v>
      </c>
      <c r="AP52" s="43">
        <f>AN52+10*Panels!X5</f>
        <v>58.226464183942632</v>
      </c>
      <c r="AQ52" s="107">
        <f>IF(AO52&lt;&gt;AM52,(AP52-AN52)/(AO52-AM52),"")</f>
        <v>42.075468707567715</v>
      </c>
      <c r="AR52" s="107">
        <f>IF(AQ52&lt;&gt;"",(AP52*AM52-AN52*AO52)/(AM52-AO52),AM52)</f>
        <v>-2421.9989373794906</v>
      </c>
      <c r="AS52" s="43">
        <f>IF(AQ52&lt;&gt;"",(AR51-AR52)/(AQ52-AQ51),AM52)</f>
        <v>59.122758485041643</v>
      </c>
      <c r="AT52" s="43">
        <f>IF(AQ52&lt;&gt;"",AS52*AQ52+AR52,AN51)</f>
        <v>65.618837162962791</v>
      </c>
    </row>
    <row r="53" spans="2:46" s="12" customFormat="1" ht="11.25" x14ac:dyDescent="0.2">
      <c r="B53" s="9">
        <f t="shared" si="2"/>
        <v>24</v>
      </c>
      <c r="C53" s="38">
        <f>C50+1</f>
        <v>12</v>
      </c>
      <c r="D53" s="112">
        <f>Panels!C33</f>
        <v>118.75</v>
      </c>
      <c r="E53" s="113">
        <f>(E49+E50)/2</f>
        <v>70.051889915756277</v>
      </c>
      <c r="F53" s="114"/>
      <c r="G53" s="113">
        <f>IF(Design!$H$19="x",D53,0)</f>
        <v>0</v>
      </c>
      <c r="H53" s="113">
        <f>IF(Design!$H$19="x",E53,0)</f>
        <v>0</v>
      </c>
      <c r="I53" s="113"/>
      <c r="J53" s="113"/>
      <c r="K53" s="113">
        <f>K52</f>
        <v>113.66493530094549</v>
      </c>
      <c r="L53" s="113">
        <f>L52</f>
        <v>67.6103348736344</v>
      </c>
      <c r="M53" s="118"/>
      <c r="N53" s="113">
        <f t="shared" ref="N53:P53" si="57">N52</f>
        <v>2.4845207375663279</v>
      </c>
      <c r="O53" s="113">
        <f t="shared" si="57"/>
        <v>114.5951147102783</v>
      </c>
      <c r="P53" s="155">
        <f t="shared" si="57"/>
        <v>632.90804087152367</v>
      </c>
      <c r="Q53" s="43">
        <f>ATAN((E52-E53)/(D52-D53))*180/PI()</f>
        <v>25.647635407381948</v>
      </c>
      <c r="R53" s="43"/>
      <c r="S53" s="223">
        <f t="shared" si="39"/>
        <v>316.45402043576183</v>
      </c>
      <c r="T53" s="224">
        <f t="shared" si="40"/>
        <v>-316.45402043576183</v>
      </c>
      <c r="U53" s="229">
        <f t="shared" si="41"/>
        <v>67.442709402152218</v>
      </c>
      <c r="V53" s="221"/>
      <c r="W53" s="218">
        <f t="shared" si="42"/>
        <v>282.73266573468572</v>
      </c>
      <c r="X53" s="221"/>
      <c r="Y53" s="202">
        <f t="shared" si="43"/>
        <v>282.73266573468572</v>
      </c>
      <c r="Z53" s="203">
        <f t="shared" si="44"/>
        <v>-282.73266573468572</v>
      </c>
      <c r="AA53" s="221"/>
      <c r="AB53" s="206">
        <f t="shared" si="45"/>
        <v>255.80495159316354</v>
      </c>
      <c r="AC53" s="207">
        <f t="shared" si="46"/>
        <v>-255.80495159316354</v>
      </c>
      <c r="AD53" s="221"/>
      <c r="AE53" s="208">
        <f t="shared" si="47"/>
        <v>232.46760042394482</v>
      </c>
      <c r="AF53" s="209">
        <f t="shared" si="48"/>
        <v>-232.46760042394482</v>
      </c>
      <c r="AG53" s="43">
        <f>IF(C50&gt;0,L53,"")</f>
        <v>67.6103348736344</v>
      </c>
      <c r="AH53" s="43">
        <f>AH52</f>
        <v>114.5951147102783</v>
      </c>
      <c r="AI53" s="43">
        <f>-AI52</f>
        <v>-906.41522996686899</v>
      </c>
    </row>
    <row r="54" spans="2:46" s="12" customFormat="1" ht="11.25" x14ac:dyDescent="0.2">
      <c r="B54" s="9"/>
      <c r="C54" s="9"/>
      <c r="D54" s="127"/>
      <c r="E54" s="128"/>
      <c r="F54" s="128"/>
      <c r="G54" s="124"/>
      <c r="H54" s="125"/>
      <c r="I54" s="125"/>
      <c r="J54" s="125"/>
      <c r="K54" s="125">
        <f>K53</f>
        <v>113.66493530094549</v>
      </c>
      <c r="L54" s="125">
        <f>L53</f>
        <v>67.6103348736344</v>
      </c>
      <c r="M54" s="187">
        <f>((D52-D53)^2+(E52-E53)^2)^0.5</f>
        <v>11.281679665241535</v>
      </c>
      <c r="N54" s="125">
        <f>((I52-I49)^2+(J52-J49)^2)^0.5</f>
        <v>3.4833940803629755</v>
      </c>
      <c r="O54" s="125">
        <f>O51+N54</f>
        <v>118.07850879064127</v>
      </c>
      <c r="P54" s="156">
        <f>((D52-D53)^2+(E52-E53)^2)^0.5*Panels!$T$114</f>
        <v>645.31207685181585</v>
      </c>
      <c r="S54" s="223">
        <f t="shared" si="39"/>
        <v>322.65603842590792</v>
      </c>
      <c r="T54" s="224">
        <f t="shared" si="40"/>
        <v>-322.65603842590792</v>
      </c>
      <c r="U54" s="229">
        <f t="shared" si="41"/>
        <v>70.379534161554602</v>
      </c>
      <c r="V54" s="221"/>
      <c r="W54" s="218">
        <f t="shared" si="42"/>
        <v>287.46627134513062</v>
      </c>
      <c r="X54" s="221"/>
      <c r="Y54" s="202">
        <f t="shared" si="43"/>
        <v>287.46627134513062</v>
      </c>
      <c r="Z54" s="203">
        <f t="shared" si="44"/>
        <v>-287.46627134513062</v>
      </c>
      <c r="AA54" s="221"/>
      <c r="AB54" s="206">
        <f t="shared" si="45"/>
        <v>260.07641646690706</v>
      </c>
      <c r="AC54" s="207">
        <f t="shared" si="46"/>
        <v>-260.07641646690706</v>
      </c>
      <c r="AD54" s="221"/>
      <c r="AE54" s="208">
        <f t="shared" si="47"/>
        <v>236.0887794726811</v>
      </c>
      <c r="AF54" s="209">
        <f t="shared" si="48"/>
        <v>-236.0887794726811</v>
      </c>
      <c r="AG54" s="43">
        <f>IF(C50&gt;0,L54,"")</f>
        <v>67.6103348736344</v>
      </c>
      <c r="AJ54" s="43">
        <f>AJ51+N54</f>
        <v>118.07850879064127</v>
      </c>
    </row>
    <row r="55" spans="2:46" s="12" customFormat="1" ht="11.25" x14ac:dyDescent="0.2">
      <c r="B55" s="9"/>
      <c r="C55" s="9"/>
      <c r="D55" s="109">
        <f>D52</f>
        <v>108.57987060189097</v>
      </c>
      <c r="E55" s="110">
        <f>E52</f>
        <v>65.168779831512538</v>
      </c>
      <c r="F55" s="111"/>
      <c r="G55" s="110">
        <f>IF(Design!$H$19="x",D55,0)</f>
        <v>0</v>
      </c>
      <c r="H55" s="110">
        <f>IF(Design!$H$19="x",E55,0)</f>
        <v>0</v>
      </c>
      <c r="I55" s="110">
        <f>SUM(D55:D56)/2</f>
        <v>113.66493530094549</v>
      </c>
      <c r="J55" s="110">
        <f>SUM(E55:E56)/2</f>
        <v>65.047958144092604</v>
      </c>
      <c r="K55" s="110">
        <f>IF(Design!$H$18="x",I55,0)</f>
        <v>113.66493530094549</v>
      </c>
      <c r="L55" s="110">
        <f>IF(Design!$H$18="x",J55,0)</f>
        <v>65.047958144092604</v>
      </c>
      <c r="M55" s="120"/>
      <c r="N55" s="110">
        <f t="shared" ref="N55:P55" si="58">N54</f>
        <v>3.4833940803629755</v>
      </c>
      <c r="O55" s="110">
        <f t="shared" si="58"/>
        <v>118.07850879064127</v>
      </c>
      <c r="P55" s="154">
        <f t="shared" si="58"/>
        <v>645.31207685181585</v>
      </c>
      <c r="S55" s="223">
        <f t="shared" si="39"/>
        <v>322.65603842590792</v>
      </c>
      <c r="T55" s="224">
        <f t="shared" si="40"/>
        <v>-322.65603842590792</v>
      </c>
      <c r="U55" s="229">
        <f t="shared" si="41"/>
        <v>70.379534161554602</v>
      </c>
      <c r="V55" s="221"/>
      <c r="W55" s="218">
        <f t="shared" si="42"/>
        <v>287.46627134513062</v>
      </c>
      <c r="X55" s="221"/>
      <c r="Y55" s="202">
        <f t="shared" si="43"/>
        <v>287.46627134513062</v>
      </c>
      <c r="Z55" s="203">
        <f t="shared" si="44"/>
        <v>-287.46627134513062</v>
      </c>
      <c r="AA55" s="221"/>
      <c r="AB55" s="206">
        <f t="shared" si="45"/>
        <v>260.07641646690706</v>
      </c>
      <c r="AC55" s="207">
        <f t="shared" si="46"/>
        <v>-260.07641646690706</v>
      </c>
      <c r="AD55" s="221"/>
      <c r="AE55" s="208">
        <f t="shared" si="47"/>
        <v>236.0887794726811</v>
      </c>
      <c r="AF55" s="209">
        <f t="shared" si="48"/>
        <v>-236.0887794726811</v>
      </c>
      <c r="AG55" s="43">
        <f>IF(C53&gt;0,L55,"")</f>
        <v>65.047958144092604</v>
      </c>
      <c r="AH55" s="43">
        <f>O54</f>
        <v>118.07850879064127</v>
      </c>
      <c r="AI55" s="43">
        <f>$R$165/2</f>
        <v>906.41522996686899</v>
      </c>
      <c r="AJ55" s="43"/>
    </row>
    <row r="56" spans="2:46" s="12" customFormat="1" ht="11.25" x14ac:dyDescent="0.2">
      <c r="B56" s="9">
        <f t="shared" si="2"/>
        <v>23</v>
      </c>
      <c r="C56" s="38">
        <f>C53+1</f>
        <v>13</v>
      </c>
      <c r="D56" s="112">
        <f>D53</f>
        <v>118.75</v>
      </c>
      <c r="E56" s="113">
        <f>E55-(D56-D55)*Panels!Y5</f>
        <v>64.92713645667267</v>
      </c>
      <c r="F56" s="114"/>
      <c r="G56" s="113">
        <f>IF(Design!$H$19="x",D56,0)</f>
        <v>0</v>
      </c>
      <c r="H56" s="113">
        <f>IF(Design!$H$19="x",E56,0)</f>
        <v>0</v>
      </c>
      <c r="I56" s="114"/>
      <c r="J56" s="114"/>
      <c r="K56" s="113">
        <f>K55</f>
        <v>113.66493530094549</v>
      </c>
      <c r="L56" s="113">
        <f>L55</f>
        <v>65.047958144092604</v>
      </c>
      <c r="M56" s="118"/>
      <c r="N56" s="113">
        <f t="shared" ref="N56:P56" si="59">N55</f>
        <v>3.4833940803629755</v>
      </c>
      <c r="O56" s="113">
        <f t="shared" si="59"/>
        <v>118.07850879064127</v>
      </c>
      <c r="P56" s="155">
        <f t="shared" si="59"/>
        <v>645.31207685181585</v>
      </c>
      <c r="Q56" s="43">
        <f>ATAN((E55-E56)/(D55-D56))*180/PI()</f>
        <v>-1.3610978261709079</v>
      </c>
      <c r="R56" s="43"/>
      <c r="S56" s="223">
        <f t="shared" si="39"/>
        <v>322.65603842590792</v>
      </c>
      <c r="T56" s="224">
        <f t="shared" si="40"/>
        <v>-322.65603842590792</v>
      </c>
      <c r="U56" s="229">
        <f t="shared" si="41"/>
        <v>70.379534161554602</v>
      </c>
      <c r="V56" s="221"/>
      <c r="W56" s="218">
        <f t="shared" si="42"/>
        <v>287.46627134513062</v>
      </c>
      <c r="X56" s="221"/>
      <c r="Y56" s="202">
        <f t="shared" si="43"/>
        <v>287.46627134513062</v>
      </c>
      <c r="Z56" s="203">
        <f t="shared" si="44"/>
        <v>-287.46627134513062</v>
      </c>
      <c r="AA56" s="221"/>
      <c r="AB56" s="206">
        <f t="shared" si="45"/>
        <v>260.07641646690706</v>
      </c>
      <c r="AC56" s="207">
        <f t="shared" si="46"/>
        <v>-260.07641646690706</v>
      </c>
      <c r="AD56" s="221"/>
      <c r="AE56" s="208">
        <f t="shared" si="47"/>
        <v>236.0887794726811</v>
      </c>
      <c r="AF56" s="209">
        <f t="shared" si="48"/>
        <v>-236.0887794726811</v>
      </c>
      <c r="AG56" s="43">
        <f>IF(C53&gt;0,L56,"")</f>
        <v>65.047958144092604</v>
      </c>
      <c r="AH56" s="43">
        <f>AH55</f>
        <v>118.07850879064127</v>
      </c>
      <c r="AI56" s="43">
        <f>-AI55</f>
        <v>-906.41522996686899</v>
      </c>
    </row>
    <row r="57" spans="2:46" s="12" customFormat="1" ht="11.25" x14ac:dyDescent="0.2">
      <c r="B57" s="9"/>
      <c r="C57" s="9"/>
      <c r="D57" s="127"/>
      <c r="E57" s="128"/>
      <c r="F57" s="128"/>
      <c r="G57" s="128"/>
      <c r="H57" s="128"/>
      <c r="I57" s="128"/>
      <c r="J57" s="128"/>
      <c r="K57" s="125">
        <f>K56</f>
        <v>113.66493530094549</v>
      </c>
      <c r="L57" s="125">
        <f>L56</f>
        <v>65.047958144092604</v>
      </c>
      <c r="M57" s="187">
        <f>((D55-D56)^2+(E55-E56)^2)^0.5</f>
        <v>10.172999729425213</v>
      </c>
      <c r="N57" s="125">
        <f>((I55-I52)^2+(J55-J52)^2)^0.5</f>
        <v>2.5623767295417963</v>
      </c>
      <c r="O57" s="125">
        <f>O54+N57</f>
        <v>120.64088552018306</v>
      </c>
      <c r="P57" s="156">
        <f>((D55-D56)^2+(E55-E56)^2)^0.5*Panels!$T$114</f>
        <v>581.89558452312224</v>
      </c>
      <c r="S57" s="223">
        <f t="shared" si="39"/>
        <v>290.94779226156112</v>
      </c>
      <c r="T57" s="224">
        <f t="shared" si="40"/>
        <v>-290.94779226156112</v>
      </c>
      <c r="U57" s="229">
        <f t="shared" si="41"/>
        <v>-1.0171183838565412E-3</v>
      </c>
      <c r="V57" s="221"/>
      <c r="W57" s="218">
        <f t="shared" si="42"/>
        <v>290.94830082075305</v>
      </c>
      <c r="X57" s="221"/>
      <c r="Y57" s="202">
        <f t="shared" si="43"/>
        <v>290.94830082075305</v>
      </c>
      <c r="Z57" s="203">
        <f t="shared" si="44"/>
        <v>-290.94830082075305</v>
      </c>
      <c r="AA57" s="221"/>
      <c r="AB57" s="206">
        <f t="shared" si="45"/>
        <v>263.24107350569352</v>
      </c>
      <c r="AC57" s="207">
        <f t="shared" si="46"/>
        <v>-263.24107350569352</v>
      </c>
      <c r="AD57" s="221"/>
      <c r="AE57" s="208">
        <f t="shared" si="47"/>
        <v>238.78846915279985</v>
      </c>
      <c r="AF57" s="209">
        <f t="shared" si="48"/>
        <v>-238.78846915279985</v>
      </c>
      <c r="AG57" s="43">
        <f>IF(C53&gt;0,L57,"")</f>
        <v>65.047958144092604</v>
      </c>
      <c r="AJ57" s="43">
        <f>AJ54+N57</f>
        <v>120.64088552018306</v>
      </c>
      <c r="AL57" s="9" t="s">
        <v>81</v>
      </c>
      <c r="AM57" s="43">
        <f>AM16</f>
        <v>29.81285537892925</v>
      </c>
      <c r="AN57" s="43">
        <f>AN16</f>
        <v>29.68015853775065</v>
      </c>
      <c r="AO57" s="43">
        <f>AO16</f>
        <v>33.654298627389551</v>
      </c>
      <c r="AP57" s="43">
        <f>AP16</f>
        <v>76.98877323662677</v>
      </c>
      <c r="AQ57" s="107">
        <f>(AP57-AN57)/(AO57-AM57)</f>
        <v>12.31532308015692</v>
      </c>
      <c r="AR57" s="107">
        <f>(AP57*AM57-AN57*AO57)/(AM57-AO57)</f>
        <v>-337.47478739575706</v>
      </c>
    </row>
    <row r="58" spans="2:46" s="12" customFormat="1" ht="11.25" x14ac:dyDescent="0.2">
      <c r="B58" s="9"/>
      <c r="C58" s="9"/>
      <c r="D58" s="109">
        <f>Panels!C74</f>
        <v>106.1927286465103</v>
      </c>
      <c r="E58" s="110">
        <f>Panels!D74</f>
        <v>14.977088893438969</v>
      </c>
      <c r="F58" s="111"/>
      <c r="G58" s="110">
        <f>IF(Design!$H$19="x",D58,0)</f>
        <v>0</v>
      </c>
      <c r="H58" s="110">
        <f>IF(Design!$H$19="x",E58,0)</f>
        <v>0</v>
      </c>
      <c r="I58" s="110">
        <f>SUM(D58:D59)/2</f>
        <v>112.47136432325516</v>
      </c>
      <c r="J58" s="110">
        <f>SUM(E58:E59)/2</f>
        <v>14.856267206019034</v>
      </c>
      <c r="K58" s="110">
        <f>IF(Design!$H$18="x",I58,0)</f>
        <v>112.47136432325516</v>
      </c>
      <c r="L58" s="110">
        <f>IF(Design!$H$18="x",J58,0)</f>
        <v>14.856267206019034</v>
      </c>
      <c r="M58" s="120"/>
      <c r="N58" s="110">
        <f t="shared" ref="N58:P58" si="60">N57</f>
        <v>2.5623767295417963</v>
      </c>
      <c r="O58" s="110">
        <f t="shared" si="60"/>
        <v>120.64088552018306</v>
      </c>
      <c r="P58" s="154">
        <f t="shared" si="60"/>
        <v>581.89558452312224</v>
      </c>
      <c r="S58" s="223">
        <f t="shared" si="39"/>
        <v>290.94779226156112</v>
      </c>
      <c r="T58" s="224">
        <f t="shared" si="40"/>
        <v>-290.94779226156112</v>
      </c>
      <c r="U58" s="229">
        <f t="shared" si="41"/>
        <v>-1.0171183838565412E-3</v>
      </c>
      <c r="V58" s="221"/>
      <c r="W58" s="218">
        <f t="shared" si="42"/>
        <v>290.94830082075305</v>
      </c>
      <c r="X58" s="221"/>
      <c r="Y58" s="202">
        <f t="shared" si="43"/>
        <v>290.94830082075305</v>
      </c>
      <c r="Z58" s="203">
        <f t="shared" si="44"/>
        <v>-290.94830082075305</v>
      </c>
      <c r="AA58" s="221"/>
      <c r="AB58" s="206">
        <f t="shared" si="45"/>
        <v>263.24107350569352</v>
      </c>
      <c r="AC58" s="207">
        <f t="shared" si="46"/>
        <v>-263.24107350569352</v>
      </c>
      <c r="AD58" s="221"/>
      <c r="AE58" s="208">
        <f t="shared" si="47"/>
        <v>238.78846915279985</v>
      </c>
      <c r="AF58" s="209">
        <f t="shared" si="48"/>
        <v>-238.78846915279985</v>
      </c>
      <c r="AG58" s="43">
        <f>IF(C56&gt;0,L58,"")</f>
        <v>14.856267206019034</v>
      </c>
      <c r="AH58" s="43">
        <f>O57</f>
        <v>120.64088552018306</v>
      </c>
      <c r="AI58" s="43">
        <f>$R$165/2</f>
        <v>906.41522996686899</v>
      </c>
      <c r="AJ58" s="43"/>
      <c r="AL58" s="9" t="s">
        <v>122</v>
      </c>
      <c r="AM58" s="43">
        <f>Panels!C15</f>
        <v>1.9</v>
      </c>
      <c r="AN58" s="43">
        <f>Panels!D15</f>
        <v>76.835000000000008</v>
      </c>
      <c r="AO58" s="43">
        <f>AM58+10*Panels!X6</f>
        <v>11.891795437073151</v>
      </c>
      <c r="AP58" s="43">
        <f>AN58-10*Panels!Y6</f>
        <v>76.43000130409574</v>
      </c>
      <c r="AQ58" s="107">
        <f>IF(AO58&lt;&gt;AM58,(AP58-AN58)/(AO58-AM58),"")</f>
        <v>-4.0533125248098829E-2</v>
      </c>
      <c r="AR58" s="107">
        <f>IF(AQ58&lt;&gt;"",(AP58*AM58-AN58*AO58)/(AM58-AO58),AM58)</f>
        <v>76.912012937971397</v>
      </c>
      <c r="AS58" s="43">
        <f>IF(AQ58&lt;&gt;"",(AR57-AR58)/(AQ58-AQ57),AM58)</f>
        <v>33.537683948802886</v>
      </c>
      <c r="AT58" s="43">
        <f>IF(AQ58&lt;&gt;"",AS58*AQ58+AR58,AN57)</f>
        <v>75.55262579394342</v>
      </c>
    </row>
    <row r="59" spans="2:46" s="12" customFormat="1" ht="11.25" x14ac:dyDescent="0.2">
      <c r="B59" s="9">
        <f t="shared" si="2"/>
        <v>22</v>
      </c>
      <c r="C59" s="38">
        <f>C56+1</f>
        <v>14</v>
      </c>
      <c r="D59" s="112">
        <f>D56</f>
        <v>118.75</v>
      </c>
      <c r="E59" s="113">
        <f>E58-(D56-D55)*Panels!$Y$5</f>
        <v>14.735445518599098</v>
      </c>
      <c r="F59" s="114"/>
      <c r="G59" s="113">
        <f>IF(Design!$H$19="x",D59,0)</f>
        <v>0</v>
      </c>
      <c r="H59" s="113">
        <f>IF(Design!$H$19="x",E59,0)</f>
        <v>0</v>
      </c>
      <c r="I59" s="114"/>
      <c r="J59" s="114"/>
      <c r="K59" s="113">
        <f>K58</f>
        <v>112.47136432325516</v>
      </c>
      <c r="L59" s="113">
        <f>L58</f>
        <v>14.856267206019034</v>
      </c>
      <c r="M59" s="118"/>
      <c r="N59" s="113">
        <f t="shared" ref="N59:P59" si="61">N58</f>
        <v>2.5623767295417963</v>
      </c>
      <c r="O59" s="113">
        <f t="shared" si="61"/>
        <v>120.64088552018306</v>
      </c>
      <c r="P59" s="155">
        <f t="shared" si="61"/>
        <v>581.89558452312224</v>
      </c>
      <c r="Q59" s="43">
        <f>ATAN((E58-E59)/(D58-D59))*180/PI()</f>
        <v>-1.1024239694570321</v>
      </c>
      <c r="R59" s="43"/>
      <c r="S59" s="223">
        <f t="shared" si="39"/>
        <v>290.94779226156112</v>
      </c>
      <c r="T59" s="224">
        <f t="shared" si="40"/>
        <v>-290.94779226156112</v>
      </c>
      <c r="U59" s="229">
        <f t="shared" si="41"/>
        <v>-1.0171183838565412E-3</v>
      </c>
      <c r="V59" s="221"/>
      <c r="W59" s="218">
        <f t="shared" si="42"/>
        <v>290.94830082075305</v>
      </c>
      <c r="X59" s="221"/>
      <c r="Y59" s="202">
        <f t="shared" si="43"/>
        <v>290.94830082075305</v>
      </c>
      <c r="Z59" s="203">
        <f t="shared" si="44"/>
        <v>-290.94830082075305</v>
      </c>
      <c r="AA59" s="221"/>
      <c r="AB59" s="206">
        <f t="shared" si="45"/>
        <v>263.24107350569352</v>
      </c>
      <c r="AC59" s="207">
        <f t="shared" si="46"/>
        <v>-263.24107350569352</v>
      </c>
      <c r="AD59" s="221"/>
      <c r="AE59" s="208">
        <f t="shared" si="47"/>
        <v>238.78846915279985</v>
      </c>
      <c r="AF59" s="209">
        <f t="shared" si="48"/>
        <v>-238.78846915279985</v>
      </c>
      <c r="AG59" s="43">
        <f>IF(C56&gt;0,L59,"")</f>
        <v>14.856267206019034</v>
      </c>
      <c r="AH59" s="43">
        <f>AH58</f>
        <v>120.64088552018306</v>
      </c>
      <c r="AI59" s="43">
        <f>-AI58</f>
        <v>-906.41522996686899</v>
      </c>
    </row>
    <row r="60" spans="2:46" s="12" customFormat="1" ht="11.25" x14ac:dyDescent="0.2">
      <c r="B60" s="9"/>
      <c r="C60" s="9"/>
      <c r="D60" s="127"/>
      <c r="E60" s="128"/>
      <c r="F60" s="128"/>
      <c r="G60" s="128"/>
      <c r="H60" s="128"/>
      <c r="I60" s="128"/>
      <c r="J60" s="128"/>
      <c r="K60" s="125">
        <f>K59</f>
        <v>112.47136432325516</v>
      </c>
      <c r="L60" s="125">
        <f>L59</f>
        <v>14.856267206019034</v>
      </c>
      <c r="M60" s="187">
        <f>((D58-D59)^2+(E58-E59)^2)^0.5</f>
        <v>12.559596146603479</v>
      </c>
      <c r="N60" s="125">
        <f>((I58-I55)^2+(J58-J55)^2)^0.5</f>
        <v>50.20588064063692</v>
      </c>
      <c r="O60" s="125">
        <f>O57+N60</f>
        <v>170.84676616081998</v>
      </c>
      <c r="P60" s="156">
        <f>((D58-D59)^2+(E58-E59)^2)^0.5*Panels!$T$114</f>
        <v>718.40889958571904</v>
      </c>
      <c r="S60" s="223">
        <f t="shared" si="39"/>
        <v>359.20444979285952</v>
      </c>
      <c r="T60" s="224">
        <f t="shared" si="40"/>
        <v>-359.20444979285952</v>
      </c>
      <c r="U60" s="229">
        <f t="shared" si="41"/>
        <v>6.2138820625591507E-2</v>
      </c>
      <c r="V60" s="221"/>
      <c r="W60" s="218">
        <f t="shared" si="42"/>
        <v>359.17338038254672</v>
      </c>
      <c r="X60" s="221"/>
      <c r="Y60" s="202">
        <f t="shared" si="43"/>
        <v>359.17338038254672</v>
      </c>
      <c r="Z60" s="203">
        <f t="shared" si="44"/>
        <v>-359.17338038254672</v>
      </c>
      <c r="AA60" s="221"/>
      <c r="AB60" s="206">
        <f t="shared" si="45"/>
        <v>329.1087541946697</v>
      </c>
      <c r="AC60" s="207">
        <f t="shared" si="46"/>
        <v>-329.1087541946697</v>
      </c>
      <c r="AD60" s="221"/>
      <c r="AE60" s="208">
        <f t="shared" si="47"/>
        <v>298.37748406969956</v>
      </c>
      <c r="AF60" s="209">
        <f t="shared" si="48"/>
        <v>-298.37748406969956</v>
      </c>
      <c r="AG60" s="43">
        <f>IF(C56&gt;0,L60,"")</f>
        <v>14.856267206019034</v>
      </c>
      <c r="AJ60" s="43">
        <f>AJ57+N60</f>
        <v>170.84676616081998</v>
      </c>
    </row>
    <row r="61" spans="2:46" s="12" customFormat="1" ht="11.25" x14ac:dyDescent="0.2">
      <c r="B61" s="9"/>
      <c r="C61" s="9"/>
      <c r="D61" s="109">
        <f>D58</f>
        <v>106.1927286465103</v>
      </c>
      <c r="E61" s="110">
        <f>E58</f>
        <v>14.977088893438969</v>
      </c>
      <c r="F61" s="111"/>
      <c r="G61" s="110">
        <f>IF(Design!$H$19="x",D61,0)</f>
        <v>0</v>
      </c>
      <c r="H61" s="110">
        <f>IF(Design!$H$19="x",E61,0)</f>
        <v>0</v>
      </c>
      <c r="I61" s="110">
        <f>SUM(D61:D62)/2</f>
        <v>112.47136432325516</v>
      </c>
      <c r="J61" s="110">
        <f>SUM(E61:E62)/2</f>
        <v>11.647405826369258</v>
      </c>
      <c r="K61" s="110">
        <f>IF(Design!$H$18="x",I61,0)</f>
        <v>112.47136432325516</v>
      </c>
      <c r="L61" s="110">
        <f>IF(Design!$H$18="x",J61,0)</f>
        <v>11.647405826369258</v>
      </c>
      <c r="M61" s="120"/>
      <c r="N61" s="110">
        <f t="shared" ref="N61:P61" si="62">N60</f>
        <v>50.20588064063692</v>
      </c>
      <c r="O61" s="110">
        <f t="shared" si="62"/>
        <v>170.84676616081998</v>
      </c>
      <c r="P61" s="154">
        <f t="shared" si="62"/>
        <v>718.40889958571904</v>
      </c>
      <c r="S61" s="223">
        <f t="shared" si="39"/>
        <v>359.20444979285952</v>
      </c>
      <c r="T61" s="224">
        <f t="shared" si="40"/>
        <v>-359.20444979285952</v>
      </c>
      <c r="U61" s="229">
        <f t="shared" si="41"/>
        <v>6.2138820625591507E-2</v>
      </c>
      <c r="V61" s="221"/>
      <c r="W61" s="218">
        <f t="shared" si="42"/>
        <v>359.17338038254672</v>
      </c>
      <c r="X61" s="221"/>
      <c r="Y61" s="202">
        <f t="shared" si="43"/>
        <v>359.17338038254672</v>
      </c>
      <c r="Z61" s="203">
        <f t="shared" si="44"/>
        <v>-359.17338038254672</v>
      </c>
      <c r="AA61" s="221"/>
      <c r="AB61" s="206">
        <f t="shared" si="45"/>
        <v>329.1087541946697</v>
      </c>
      <c r="AC61" s="207">
        <f t="shared" si="46"/>
        <v>-329.1087541946697</v>
      </c>
      <c r="AD61" s="221"/>
      <c r="AE61" s="208">
        <f t="shared" si="47"/>
        <v>298.37748406969956</v>
      </c>
      <c r="AF61" s="209">
        <f t="shared" si="48"/>
        <v>-298.37748406969956</v>
      </c>
      <c r="AG61" s="43">
        <f>IF(C59&gt;0,L61,"")</f>
        <v>11.647405826369258</v>
      </c>
      <c r="AH61" s="43">
        <f>O60</f>
        <v>170.84676616081998</v>
      </c>
      <c r="AI61" s="43">
        <f>$R$165/2</f>
        <v>906.41522996686899</v>
      </c>
      <c r="AJ61" s="43"/>
      <c r="AL61" s="9" t="s">
        <v>89</v>
      </c>
    </row>
    <row r="62" spans="2:46" s="12" customFormat="1" ht="11.25" x14ac:dyDescent="0.2">
      <c r="B62" s="9">
        <f t="shared" si="2"/>
        <v>21</v>
      </c>
      <c r="C62" s="38">
        <f>C59+1</f>
        <v>15</v>
      </c>
      <c r="D62" s="112">
        <f>D59</f>
        <v>118.75</v>
      </c>
      <c r="E62" s="113">
        <f>(E59+Panels!D24)/2</f>
        <v>8.3177227592995493</v>
      </c>
      <c r="F62" s="114"/>
      <c r="G62" s="113">
        <f>IF(Design!$H$19="x",D62,0)</f>
        <v>0</v>
      </c>
      <c r="H62" s="113">
        <f>IF(Design!$H$19="x",E62,0)</f>
        <v>0</v>
      </c>
      <c r="I62" s="114"/>
      <c r="J62" s="114"/>
      <c r="K62" s="113">
        <f>K61</f>
        <v>112.47136432325516</v>
      </c>
      <c r="L62" s="113">
        <f>L61</f>
        <v>11.647405826369258</v>
      </c>
      <c r="M62" s="118"/>
      <c r="N62" s="113">
        <f t="shared" ref="N62:P62" si="63">N61</f>
        <v>50.20588064063692</v>
      </c>
      <c r="O62" s="113">
        <f t="shared" si="63"/>
        <v>170.84676616081998</v>
      </c>
      <c r="P62" s="155">
        <f t="shared" si="63"/>
        <v>718.40889958571904</v>
      </c>
      <c r="Q62" s="43">
        <f>ATAN((E61-E62)/(D61-D62))*180/PI()</f>
        <v>-27.937880297259671</v>
      </c>
      <c r="R62" s="43"/>
      <c r="S62" s="223">
        <f t="shared" si="39"/>
        <v>359.20444979285952</v>
      </c>
      <c r="T62" s="224">
        <f t="shared" si="40"/>
        <v>-359.20444979285952</v>
      </c>
      <c r="U62" s="229">
        <f t="shared" si="41"/>
        <v>6.2138820625591507E-2</v>
      </c>
      <c r="V62" s="221"/>
      <c r="W62" s="218">
        <f t="shared" si="42"/>
        <v>359.17338038254672</v>
      </c>
      <c r="X62" s="221"/>
      <c r="Y62" s="202">
        <f t="shared" si="43"/>
        <v>359.17338038254672</v>
      </c>
      <c r="Z62" s="203">
        <f t="shared" si="44"/>
        <v>-359.17338038254672</v>
      </c>
      <c r="AA62" s="221"/>
      <c r="AB62" s="206">
        <f t="shared" si="45"/>
        <v>329.1087541946697</v>
      </c>
      <c r="AC62" s="207">
        <f t="shared" si="46"/>
        <v>-329.1087541946697</v>
      </c>
      <c r="AD62" s="221"/>
      <c r="AE62" s="208">
        <f t="shared" si="47"/>
        <v>298.37748406969956</v>
      </c>
      <c r="AF62" s="209">
        <f t="shared" si="48"/>
        <v>-298.37748406969956</v>
      </c>
      <c r="AG62" s="43">
        <f>IF(C59&gt;0,L62,"")</f>
        <v>11.647405826369258</v>
      </c>
      <c r="AH62" s="43">
        <f>AH61</f>
        <v>170.84676616081998</v>
      </c>
      <c r="AI62" s="43">
        <f>-AI61</f>
        <v>-906.41522996686899</v>
      </c>
      <c r="AL62" s="9" t="s">
        <v>117</v>
      </c>
      <c r="AM62" s="9"/>
      <c r="AN62" s="183">
        <f>Panels!C38</f>
        <v>31.706622469069252</v>
      </c>
      <c r="AO62" s="183">
        <f>Panels!D38</f>
        <v>29.526385301123888</v>
      </c>
      <c r="AP62" s="183"/>
      <c r="AQ62" s="183"/>
      <c r="AR62" s="5">
        <f>(AO62-AO63)/(AN62-AN63)</f>
        <v>33.183706075479449</v>
      </c>
      <c r="AS62" s="5">
        <f>ATAN(AR62)*180/PI()</f>
        <v>88.273898499046282</v>
      </c>
    </row>
    <row r="63" spans="2:46" s="12" customFormat="1" ht="11.25" x14ac:dyDescent="0.2">
      <c r="B63" s="9"/>
      <c r="C63" s="9"/>
      <c r="D63" s="127"/>
      <c r="E63" s="128"/>
      <c r="F63" s="128"/>
      <c r="G63" s="128"/>
      <c r="H63" s="128"/>
      <c r="I63" s="128"/>
      <c r="J63" s="128"/>
      <c r="K63" s="125">
        <f>K62</f>
        <v>112.47136432325516</v>
      </c>
      <c r="L63" s="125">
        <f>L62</f>
        <v>11.647405826369258</v>
      </c>
      <c r="M63" s="187">
        <f>((D61-D62)^2+(E61-E62)^2)^0.5</f>
        <v>14.213803894584164</v>
      </c>
      <c r="N63" s="125">
        <f>((I61-I58)^2+(J61-J58)^2)^0.5</f>
        <v>3.2088613796497754</v>
      </c>
      <c r="O63" s="125">
        <f>O60+N63</f>
        <v>174.05562754046974</v>
      </c>
      <c r="P63" s="156">
        <f>((D61-D62)^2+(E61-E62)^2)^0.5*Panels!$T$114</f>
        <v>813.02958277021423</v>
      </c>
      <c r="S63" s="223">
        <f t="shared" si="39"/>
        <v>406.51479138510712</v>
      </c>
      <c r="T63" s="224">
        <f t="shared" si="40"/>
        <v>-406.51479138510712</v>
      </c>
      <c r="U63" s="229">
        <f t="shared" si="41"/>
        <v>85.9617391305311</v>
      </c>
      <c r="V63" s="221"/>
      <c r="W63" s="218">
        <f t="shared" si="42"/>
        <v>363.53392181984157</v>
      </c>
      <c r="X63" s="221"/>
      <c r="Y63" s="202">
        <f t="shared" si="43"/>
        <v>363.53392181984157</v>
      </c>
      <c r="Z63" s="203">
        <f t="shared" si="44"/>
        <v>-363.53392181984157</v>
      </c>
      <c r="AA63" s="221"/>
      <c r="AB63" s="206">
        <f t="shared" si="45"/>
        <v>333.5684222520419</v>
      </c>
      <c r="AC63" s="207">
        <f t="shared" si="46"/>
        <v>-333.5684222520419</v>
      </c>
      <c r="AD63" s="221"/>
      <c r="AE63" s="208">
        <f t="shared" si="47"/>
        <v>302.65642979159816</v>
      </c>
      <c r="AF63" s="209">
        <f t="shared" si="48"/>
        <v>-302.65642979159816</v>
      </c>
      <c r="AG63" s="43">
        <f>IF(C59&gt;0,L63,"")</f>
        <v>11.647405826369258</v>
      </c>
      <c r="AJ63" s="43">
        <f>AJ60+N63</f>
        <v>174.05562754046974</v>
      </c>
      <c r="AL63" s="9" t="s">
        <v>118</v>
      </c>
      <c r="AM63" s="9"/>
      <c r="AN63" s="183">
        <f>Path!AM33</f>
        <v>32.249514221437195</v>
      </c>
      <c r="AO63" s="183">
        <f>Path!AN33</f>
        <v>47.541545642503685</v>
      </c>
      <c r="AP63" s="183"/>
      <c r="AQ63" s="183"/>
      <c r="AR63" s="5">
        <f>(AO64-AO63)/(AN64-AN63)</f>
        <v>8.7107745275978186</v>
      </c>
      <c r="AS63" s="5">
        <f>ATAN(AR63)*180/PI()</f>
        <v>83.451093419747551</v>
      </c>
    </row>
    <row r="64" spans="2:46" s="12" customFormat="1" ht="11.25" x14ac:dyDescent="0.2">
      <c r="B64" s="9"/>
      <c r="C64" s="9"/>
      <c r="D64" s="109">
        <f>D61</f>
        <v>106.1927286465103</v>
      </c>
      <c r="E64" s="110">
        <f>E61</f>
        <v>14.977088893438969</v>
      </c>
      <c r="F64" s="111"/>
      <c r="G64" s="110">
        <f>IF(Design!$H$19="x",D64,0)</f>
        <v>0</v>
      </c>
      <c r="H64" s="110">
        <f>IF(Design!$H$19="x",E64,0)</f>
        <v>0</v>
      </c>
      <c r="I64" s="110">
        <f>SUM(D64:D65)/2</f>
        <v>109.33204648488274</v>
      </c>
      <c r="J64" s="110">
        <f>SUM(E64:E65)/2</f>
        <v>8.4385444467194848</v>
      </c>
      <c r="K64" s="110">
        <f>IF(Design!$H$18="x",I64,0)</f>
        <v>109.33204648488274</v>
      </c>
      <c r="L64" s="110">
        <f>IF(Design!$H$18="x",J64,0)</f>
        <v>8.4385444467194848</v>
      </c>
      <c r="M64" s="120"/>
      <c r="N64" s="110">
        <f t="shared" ref="N64:P64" si="64">N63</f>
        <v>3.2088613796497754</v>
      </c>
      <c r="O64" s="110">
        <f t="shared" si="64"/>
        <v>174.05562754046974</v>
      </c>
      <c r="P64" s="154">
        <f t="shared" si="64"/>
        <v>813.02958277021423</v>
      </c>
      <c r="S64" s="223">
        <f t="shared" si="39"/>
        <v>406.51479138510712</v>
      </c>
      <c r="T64" s="224">
        <f t="shared" si="40"/>
        <v>-406.51479138510712</v>
      </c>
      <c r="U64" s="229">
        <f t="shared" si="41"/>
        <v>85.9617391305311</v>
      </c>
      <c r="V64" s="221"/>
      <c r="W64" s="218">
        <f t="shared" si="42"/>
        <v>363.53392181984157</v>
      </c>
      <c r="X64" s="221"/>
      <c r="Y64" s="202">
        <f t="shared" si="43"/>
        <v>363.53392181984157</v>
      </c>
      <c r="Z64" s="203">
        <f t="shared" si="44"/>
        <v>-363.53392181984157</v>
      </c>
      <c r="AA64" s="221"/>
      <c r="AB64" s="206">
        <f t="shared" si="45"/>
        <v>333.5684222520419</v>
      </c>
      <c r="AC64" s="207">
        <f t="shared" si="46"/>
        <v>-333.5684222520419</v>
      </c>
      <c r="AD64" s="221"/>
      <c r="AE64" s="208">
        <f t="shared" si="47"/>
        <v>302.65642979159816</v>
      </c>
      <c r="AF64" s="209">
        <f t="shared" si="48"/>
        <v>-302.65642979159816</v>
      </c>
      <c r="AG64" s="43">
        <f>IF(C62&gt;0,L64,"")</f>
        <v>8.4385444467194848</v>
      </c>
      <c r="AH64" s="43">
        <f>O63</f>
        <v>174.05562754046974</v>
      </c>
      <c r="AI64" s="43">
        <f>$R$165/2</f>
        <v>906.41522996686899</v>
      </c>
      <c r="AJ64" s="43"/>
      <c r="AL64" s="9"/>
      <c r="AM64" s="9"/>
      <c r="AN64" s="183">
        <f>Panels!C39-Design!$D$53*Panels!T6</f>
        <v>35.394292480902791</v>
      </c>
      <c r="AO64" s="183">
        <f>Panels!D32</f>
        <v>74.935000000000002</v>
      </c>
      <c r="AP64" s="183"/>
      <c r="AQ64" s="183"/>
      <c r="AR64" s="9"/>
      <c r="AS64" s="9"/>
    </row>
    <row r="65" spans="2:46" s="12" customFormat="1" ht="11.25" x14ac:dyDescent="0.2">
      <c r="B65" s="9">
        <f t="shared" si="2"/>
        <v>20</v>
      </c>
      <c r="C65" s="38">
        <f>C62+1</f>
        <v>16</v>
      </c>
      <c r="D65" s="112">
        <f>(D61+D62)/2</f>
        <v>112.47136432325516</v>
      </c>
      <c r="E65" s="113">
        <f>Panels!D24</f>
        <v>1.9</v>
      </c>
      <c r="F65" s="114"/>
      <c r="G65" s="113">
        <f>IF(Design!$H$19="x",D65,0)</f>
        <v>0</v>
      </c>
      <c r="H65" s="113">
        <f>IF(Design!$H$19="x",E65,0)</f>
        <v>0</v>
      </c>
      <c r="I65" s="116"/>
      <c r="J65" s="117"/>
      <c r="K65" s="113">
        <f>K64</f>
        <v>109.33204648488274</v>
      </c>
      <c r="L65" s="113">
        <f>L64</f>
        <v>8.4385444467194848</v>
      </c>
      <c r="M65" s="118"/>
      <c r="N65" s="113">
        <f t="shared" ref="N65:P65" si="65">N64</f>
        <v>3.2088613796497754</v>
      </c>
      <c r="O65" s="113">
        <f t="shared" si="65"/>
        <v>174.05562754046974</v>
      </c>
      <c r="P65" s="155">
        <f t="shared" si="65"/>
        <v>813.02958277021423</v>
      </c>
      <c r="Q65" s="43">
        <f>ATAN((E64-E65)/(D64-D65))*180/PI()</f>
        <v>-64.353179408118407</v>
      </c>
      <c r="R65" s="43"/>
      <c r="S65" s="223">
        <f t="shared" si="39"/>
        <v>406.51479138510712</v>
      </c>
      <c r="T65" s="224">
        <f t="shared" si="40"/>
        <v>-406.51479138510712</v>
      </c>
      <c r="U65" s="229">
        <f t="shared" si="41"/>
        <v>85.9617391305311</v>
      </c>
      <c r="V65" s="221"/>
      <c r="W65" s="218">
        <f t="shared" si="42"/>
        <v>363.53392181984157</v>
      </c>
      <c r="X65" s="221"/>
      <c r="Y65" s="202">
        <f t="shared" si="43"/>
        <v>363.53392181984157</v>
      </c>
      <c r="Z65" s="203">
        <f t="shared" si="44"/>
        <v>-363.53392181984157</v>
      </c>
      <c r="AA65" s="221"/>
      <c r="AB65" s="206">
        <f t="shared" si="45"/>
        <v>333.5684222520419</v>
      </c>
      <c r="AC65" s="207">
        <f t="shared" si="46"/>
        <v>-333.5684222520419</v>
      </c>
      <c r="AD65" s="221"/>
      <c r="AE65" s="208">
        <f t="shared" si="47"/>
        <v>302.65642979159816</v>
      </c>
      <c r="AF65" s="209">
        <f t="shared" si="48"/>
        <v>-302.65642979159816</v>
      </c>
      <c r="AG65" s="43">
        <f>IF(C62&gt;0,L65,"")</f>
        <v>8.4385444467194848</v>
      </c>
      <c r="AH65" s="43">
        <f>AH64</f>
        <v>174.05562754046974</v>
      </c>
      <c r="AI65" s="43">
        <f>-AI64</f>
        <v>-906.41522996686899</v>
      </c>
    </row>
    <row r="66" spans="2:46" s="12" customFormat="1" ht="11.25" x14ac:dyDescent="0.2">
      <c r="B66" s="9"/>
      <c r="C66" s="9"/>
      <c r="D66" s="122"/>
      <c r="E66" s="123"/>
      <c r="F66" s="123"/>
      <c r="G66" s="124"/>
      <c r="H66" s="124"/>
      <c r="I66" s="123"/>
      <c r="J66" s="124"/>
      <c r="K66" s="125">
        <f>K65</f>
        <v>109.33204648488274</v>
      </c>
      <c r="L66" s="125">
        <f>L65</f>
        <v>8.4385444467194848</v>
      </c>
      <c r="M66" s="187">
        <f>((D64-D65)^2+(E64-E65)^2)^0.5</f>
        <v>14.506257956075308</v>
      </c>
      <c r="N66" s="125">
        <f>((I64-I61)^2+(J64-J61)^2)^0.5</f>
        <v>4.4891099166907393</v>
      </c>
      <c r="O66" s="125">
        <f>O63+N66</f>
        <v>178.54473745716049</v>
      </c>
      <c r="P66" s="156">
        <f>((D64-D65)^2+(E64-E65)^2)^0.5*Panels!$T$114</f>
        <v>829.75795508750764</v>
      </c>
      <c r="S66" s="223">
        <f t="shared" si="39"/>
        <v>414.87897754375382</v>
      </c>
      <c r="T66" s="224">
        <f t="shared" si="40"/>
        <v>-414.87897754375382</v>
      </c>
      <c r="U66" s="229">
        <f t="shared" si="41"/>
        <v>90.489553372961609</v>
      </c>
      <c r="V66" s="221"/>
      <c r="W66" s="218">
        <f t="shared" si="42"/>
        <v>369.63420085727302</v>
      </c>
      <c r="X66" s="221"/>
      <c r="Y66" s="202">
        <f t="shared" si="43"/>
        <v>369.63420085727302</v>
      </c>
      <c r="Z66" s="203">
        <f t="shared" si="44"/>
        <v>-369.63420085727302</v>
      </c>
      <c r="AA66" s="221"/>
      <c r="AB66" s="206">
        <f t="shared" si="45"/>
        <v>339.85773985456632</v>
      </c>
      <c r="AC66" s="207">
        <f t="shared" si="46"/>
        <v>-339.85773985456632</v>
      </c>
      <c r="AD66" s="221"/>
      <c r="AE66" s="208">
        <f t="shared" si="47"/>
        <v>308.7457249366264</v>
      </c>
      <c r="AF66" s="209">
        <f t="shared" si="48"/>
        <v>-308.7457249366264</v>
      </c>
      <c r="AG66" s="43">
        <f>IF(C62&gt;0,L66,"")</f>
        <v>8.4385444467194848</v>
      </c>
      <c r="AJ66" s="43">
        <f>AJ63+N66</f>
        <v>178.54473745716049</v>
      </c>
    </row>
    <row r="67" spans="2:46" s="12" customFormat="1" ht="11.25" x14ac:dyDescent="0.2">
      <c r="B67" s="9"/>
      <c r="C67" s="9"/>
      <c r="D67" s="109">
        <f>D64</f>
        <v>106.1927286465103</v>
      </c>
      <c r="E67" s="110">
        <f>E64</f>
        <v>14.977088893438969</v>
      </c>
      <c r="F67" s="116"/>
      <c r="G67" s="110">
        <f>IF(Design!$H$19="x",D67,0)</f>
        <v>0</v>
      </c>
      <c r="H67" s="110">
        <f>IF(Design!$H$19="x",E67,0)</f>
        <v>0</v>
      </c>
      <c r="I67" s="110">
        <f>SUM(D67:D68)/2</f>
        <v>106.03737212302894</v>
      </c>
      <c r="J67" s="110">
        <f>SUM(E67:E68)/2</f>
        <v>8.4385444467194848</v>
      </c>
      <c r="K67" s="110">
        <f>IF(Design!$H$18="x",I67,0)</f>
        <v>106.03737212302894</v>
      </c>
      <c r="L67" s="110">
        <f>IF(Design!$H$18="x",J67,0)</f>
        <v>8.4385444467194848</v>
      </c>
      <c r="M67" s="120"/>
      <c r="N67" s="110">
        <f t="shared" ref="N67:P67" si="66">N66</f>
        <v>4.4891099166907393</v>
      </c>
      <c r="O67" s="110">
        <f t="shared" si="66"/>
        <v>178.54473745716049</v>
      </c>
      <c r="P67" s="154">
        <f t="shared" si="66"/>
        <v>829.75795508750764</v>
      </c>
      <c r="S67" s="223">
        <f t="shared" si="39"/>
        <v>414.87897754375382</v>
      </c>
      <c r="T67" s="224">
        <f t="shared" si="40"/>
        <v>-414.87897754375382</v>
      </c>
      <c r="U67" s="229">
        <f t="shared" si="41"/>
        <v>90.489553372961609</v>
      </c>
      <c r="V67" s="221"/>
      <c r="W67" s="218">
        <f t="shared" si="42"/>
        <v>369.63420085727302</v>
      </c>
      <c r="X67" s="221"/>
      <c r="Y67" s="202">
        <f t="shared" si="43"/>
        <v>369.63420085727302</v>
      </c>
      <c r="Z67" s="203">
        <f t="shared" si="44"/>
        <v>-369.63420085727302</v>
      </c>
      <c r="AA67" s="221"/>
      <c r="AB67" s="206">
        <f t="shared" si="45"/>
        <v>339.85773985456632</v>
      </c>
      <c r="AC67" s="207">
        <f t="shared" si="46"/>
        <v>-339.85773985456632</v>
      </c>
      <c r="AD67" s="221"/>
      <c r="AE67" s="208">
        <f t="shared" si="47"/>
        <v>308.7457249366264</v>
      </c>
      <c r="AF67" s="209">
        <f t="shared" si="48"/>
        <v>-308.7457249366264</v>
      </c>
      <c r="AG67" s="43">
        <f>IF(C65&gt;0,L67,"")</f>
        <v>8.4385444467194848</v>
      </c>
      <c r="AH67" s="43">
        <f>O66</f>
        <v>178.54473745716049</v>
      </c>
      <c r="AI67" s="43">
        <f>$R$165/2</f>
        <v>906.41522996686899</v>
      </c>
      <c r="AJ67" s="43"/>
      <c r="AL67" s="9"/>
      <c r="AM67" s="43"/>
      <c r="AN67" s="43"/>
      <c r="AO67" s="43"/>
      <c r="AP67" s="43"/>
      <c r="AQ67" s="107"/>
      <c r="AR67" s="107"/>
    </row>
    <row r="68" spans="2:46" s="12" customFormat="1" ht="11.25" x14ac:dyDescent="0.2">
      <c r="B68" s="9">
        <f>B92+1</f>
        <v>19</v>
      </c>
      <c r="C68" s="38">
        <f>C65+1</f>
        <v>17</v>
      </c>
      <c r="D68" s="112">
        <f>D67-(E67-E68)*Panels!Y5</f>
        <v>105.88201559954759</v>
      </c>
      <c r="E68" s="113">
        <f>E65</f>
        <v>1.9</v>
      </c>
      <c r="F68" s="116"/>
      <c r="G68" s="113">
        <f>IF(Design!$H$19="x",D68,0)</f>
        <v>0</v>
      </c>
      <c r="H68" s="113">
        <f>IF(Design!$H$19="x",E68,0)</f>
        <v>0</v>
      </c>
      <c r="I68" s="114"/>
      <c r="J68" s="114"/>
      <c r="K68" s="113">
        <f>K67</f>
        <v>106.03737212302894</v>
      </c>
      <c r="L68" s="113">
        <f>L67</f>
        <v>8.4385444467194848</v>
      </c>
      <c r="M68" s="118"/>
      <c r="N68" s="113">
        <f t="shared" ref="N68:P68" si="67">N67</f>
        <v>4.4891099166907393</v>
      </c>
      <c r="O68" s="113">
        <f t="shared" si="67"/>
        <v>178.54473745716049</v>
      </c>
      <c r="P68" s="155">
        <f t="shared" si="67"/>
        <v>829.75795508750764</v>
      </c>
      <c r="Q68" s="43">
        <f>ATAN((E67-E68)/(D67-D68))*180/PI()</f>
        <v>88.638902173829081</v>
      </c>
      <c r="R68" s="43"/>
      <c r="S68" s="223">
        <f t="shared" si="39"/>
        <v>414.87897754375382</v>
      </c>
      <c r="T68" s="224">
        <f t="shared" si="40"/>
        <v>-414.87897754375382</v>
      </c>
      <c r="U68" s="229">
        <f t="shared" si="41"/>
        <v>90.489553372961609</v>
      </c>
      <c r="V68" s="221"/>
      <c r="W68" s="218">
        <f t="shared" si="42"/>
        <v>369.63420085727302</v>
      </c>
      <c r="X68" s="221"/>
      <c r="Y68" s="202">
        <f t="shared" si="43"/>
        <v>369.63420085727302</v>
      </c>
      <c r="Z68" s="203">
        <f t="shared" si="44"/>
        <v>-369.63420085727302</v>
      </c>
      <c r="AA68" s="221"/>
      <c r="AB68" s="206">
        <f t="shared" si="45"/>
        <v>339.85773985456632</v>
      </c>
      <c r="AC68" s="207">
        <f t="shared" si="46"/>
        <v>-339.85773985456632</v>
      </c>
      <c r="AD68" s="221"/>
      <c r="AE68" s="208">
        <f t="shared" si="47"/>
        <v>308.7457249366264</v>
      </c>
      <c r="AF68" s="209">
        <f t="shared" si="48"/>
        <v>-308.7457249366264</v>
      </c>
      <c r="AG68" s="43">
        <f>IF(C65&gt;0,L68,"")</f>
        <v>8.4385444467194848</v>
      </c>
      <c r="AH68" s="43">
        <f>AH67</f>
        <v>178.54473745716049</v>
      </c>
      <c r="AI68" s="43">
        <f>-AI67</f>
        <v>-906.41522996686899</v>
      </c>
      <c r="AL68" s="9"/>
      <c r="AM68" s="43"/>
      <c r="AN68" s="43"/>
      <c r="AO68" s="43"/>
      <c r="AP68" s="43"/>
      <c r="AQ68" s="107"/>
      <c r="AR68" s="107"/>
      <c r="AS68" s="43"/>
      <c r="AT68" s="43"/>
    </row>
    <row r="69" spans="2:46" s="12" customFormat="1" ht="11.25" x14ac:dyDescent="0.2">
      <c r="B69" s="9"/>
      <c r="C69" s="9"/>
      <c r="D69" s="115"/>
      <c r="E69" s="116"/>
      <c r="F69" s="116"/>
      <c r="G69" s="117"/>
      <c r="H69" s="117"/>
      <c r="I69" s="114"/>
      <c r="J69" s="114"/>
      <c r="K69" s="125">
        <f>K68</f>
        <v>106.03737212302894</v>
      </c>
      <c r="L69" s="125">
        <f>L68</f>
        <v>8.4385444467194848</v>
      </c>
      <c r="M69" s="187">
        <f>((D67-D68)^2+(E67-E68)^2)^0.5</f>
        <v>13.080779660420005</v>
      </c>
      <c r="N69" s="125">
        <f>((I67-I64)^2+(J67-J64)^2)^0.5</f>
        <v>3.2946743618537937</v>
      </c>
      <c r="O69" s="125">
        <f>O66+N69</f>
        <v>181.83941181901429</v>
      </c>
      <c r="P69" s="156">
        <f>((D67-D68)^2+(E67-E68)^2)^0.5*Panels!$T$114</f>
        <v>748.22059657602426</v>
      </c>
      <c r="S69" s="223">
        <f t="shared" si="39"/>
        <v>374.11029828801213</v>
      </c>
      <c r="T69" s="224">
        <f t="shared" si="40"/>
        <v>-374.11029828801213</v>
      </c>
      <c r="U69" s="229">
        <f t="shared" si="41"/>
        <v>-2.1115902540032039E-3</v>
      </c>
      <c r="V69" s="221"/>
      <c r="W69" s="218">
        <f t="shared" si="42"/>
        <v>374.11135408313913</v>
      </c>
      <c r="X69" s="221"/>
      <c r="Y69" s="202">
        <f t="shared" si="43"/>
        <v>374.11135408313913</v>
      </c>
      <c r="Z69" s="203">
        <f t="shared" si="44"/>
        <v>-374.11135408313913</v>
      </c>
      <c r="AA69" s="221"/>
      <c r="AB69" s="206">
        <f t="shared" si="45"/>
        <v>344.5110082340762</v>
      </c>
      <c r="AC69" s="207">
        <f t="shared" si="46"/>
        <v>-344.5110082340762</v>
      </c>
      <c r="AD69" s="221"/>
      <c r="AE69" s="208">
        <f t="shared" si="47"/>
        <v>313.29263231408748</v>
      </c>
      <c r="AF69" s="209">
        <f t="shared" si="48"/>
        <v>-313.29263231408748</v>
      </c>
      <c r="AG69" s="43">
        <f>IF(C65&gt;0,L69,"")</f>
        <v>8.4385444467194848</v>
      </c>
      <c r="AJ69" s="43">
        <f>AJ66+N69</f>
        <v>181.83941181901429</v>
      </c>
    </row>
    <row r="70" spans="2:46" s="12" customFormat="1" ht="11.25" x14ac:dyDescent="0.2">
      <c r="B70" s="9"/>
      <c r="C70" s="9"/>
      <c r="D70" s="109">
        <f>Panels!C73</f>
        <v>104.29487390892749</v>
      </c>
      <c r="E70" s="110">
        <f>Panels!D73</f>
        <v>15.067351815142317</v>
      </c>
      <c r="F70" s="116"/>
      <c r="G70" s="110">
        <f>IF(Design!$H$19="x",D70,0)</f>
        <v>0</v>
      </c>
      <c r="H70" s="110">
        <f>IF(Design!$H$19="x",E70,0)</f>
        <v>0</v>
      </c>
      <c r="I70" s="110">
        <f>SUM(D70:D71)/2</f>
        <v>104.13844505705336</v>
      </c>
      <c r="J70" s="110">
        <f>SUM(E70:E71)/2</f>
        <v>8.4836759075711576</v>
      </c>
      <c r="K70" s="110">
        <f>IF(Design!$H$18="x",I70,0)</f>
        <v>104.13844505705336</v>
      </c>
      <c r="L70" s="110">
        <f>IF(Design!$H$18="x",J70,0)</f>
        <v>8.4836759075711576</v>
      </c>
      <c r="M70" s="120"/>
      <c r="N70" s="110">
        <f t="shared" ref="N70:P70" si="68">N69</f>
        <v>3.2946743618537937</v>
      </c>
      <c r="O70" s="110">
        <f t="shared" si="68"/>
        <v>181.83941181901429</v>
      </c>
      <c r="P70" s="154">
        <f t="shared" si="68"/>
        <v>748.22059657602426</v>
      </c>
      <c r="S70" s="223">
        <f t="shared" si="39"/>
        <v>374.11029828801213</v>
      </c>
      <c r="T70" s="224">
        <f t="shared" si="40"/>
        <v>-374.11029828801213</v>
      </c>
      <c r="U70" s="229">
        <f t="shared" si="41"/>
        <v>-2.1115902540032039E-3</v>
      </c>
      <c r="V70" s="221"/>
      <c r="W70" s="218">
        <f t="shared" si="42"/>
        <v>374.11135408313913</v>
      </c>
      <c r="X70" s="221"/>
      <c r="Y70" s="202">
        <f t="shared" si="43"/>
        <v>374.11135408313913</v>
      </c>
      <c r="Z70" s="203">
        <f t="shared" si="44"/>
        <v>-374.11135408313913</v>
      </c>
      <c r="AA70" s="221"/>
      <c r="AB70" s="206">
        <f t="shared" si="45"/>
        <v>344.5110082340762</v>
      </c>
      <c r="AC70" s="207">
        <f t="shared" si="46"/>
        <v>-344.5110082340762</v>
      </c>
      <c r="AD70" s="221"/>
      <c r="AE70" s="208">
        <f t="shared" si="47"/>
        <v>313.29263231408748</v>
      </c>
      <c r="AF70" s="209">
        <f t="shared" si="48"/>
        <v>-313.29263231408748</v>
      </c>
      <c r="AG70" s="43">
        <f>IF(C68&gt;0,L70,"")</f>
        <v>8.4836759075711576</v>
      </c>
      <c r="AH70" s="43">
        <f>O69</f>
        <v>181.83941181901429</v>
      </c>
      <c r="AI70" s="43">
        <f>$R$165/2</f>
        <v>906.41522996686899</v>
      </c>
      <c r="AJ70" s="43"/>
    </row>
    <row r="71" spans="2:46" s="12" customFormat="1" ht="11.25" x14ac:dyDescent="0.2">
      <c r="B71" s="9">
        <f t="shared" si="2"/>
        <v>25</v>
      </c>
      <c r="C71" s="38">
        <f t="shared" ref="C71" si="69">C68+1</f>
        <v>18</v>
      </c>
      <c r="D71" s="112">
        <f>D70-(E70-E71)*Panels!Y5</f>
        <v>103.98201620517924</v>
      </c>
      <c r="E71" s="113">
        <f>E68</f>
        <v>1.9</v>
      </c>
      <c r="F71" s="116"/>
      <c r="G71" s="113">
        <f>IF(Design!$H$19="x",D71,0)</f>
        <v>0</v>
      </c>
      <c r="H71" s="113">
        <f>IF(Design!$H$19="x",E71,0)</f>
        <v>0</v>
      </c>
      <c r="I71" s="114"/>
      <c r="J71" s="114"/>
      <c r="K71" s="113">
        <f>K70</f>
        <v>104.13844505705336</v>
      </c>
      <c r="L71" s="113">
        <f>L70</f>
        <v>8.4836759075711576</v>
      </c>
      <c r="M71" s="118"/>
      <c r="N71" s="113">
        <f t="shared" ref="N71:P71" si="70">N70</f>
        <v>3.2946743618537937</v>
      </c>
      <c r="O71" s="113">
        <f t="shared" si="70"/>
        <v>181.83941181901429</v>
      </c>
      <c r="P71" s="155">
        <f t="shared" si="70"/>
        <v>748.22059657602426</v>
      </c>
      <c r="Q71" s="43">
        <f>ATAN((E70-E71)/(D70-D71))*180/PI()</f>
        <v>88.638902173829052</v>
      </c>
      <c r="R71" s="43"/>
      <c r="S71" s="223">
        <f t="shared" si="39"/>
        <v>374.11029828801213</v>
      </c>
      <c r="T71" s="224">
        <f t="shared" si="40"/>
        <v>-374.11029828801213</v>
      </c>
      <c r="U71" s="229">
        <f t="shared" si="41"/>
        <v>-2.1115902540032039E-3</v>
      </c>
      <c r="V71" s="221"/>
      <c r="W71" s="218">
        <f t="shared" si="42"/>
        <v>374.11135408313913</v>
      </c>
      <c r="X71" s="221"/>
      <c r="Y71" s="202">
        <f t="shared" si="43"/>
        <v>374.11135408313913</v>
      </c>
      <c r="Z71" s="203">
        <f t="shared" si="44"/>
        <v>-374.11135408313913</v>
      </c>
      <c r="AA71" s="221"/>
      <c r="AB71" s="206">
        <f t="shared" si="45"/>
        <v>344.5110082340762</v>
      </c>
      <c r="AC71" s="207">
        <f t="shared" si="46"/>
        <v>-344.5110082340762</v>
      </c>
      <c r="AD71" s="221"/>
      <c r="AE71" s="208">
        <f t="shared" si="47"/>
        <v>313.29263231408748</v>
      </c>
      <c r="AF71" s="209">
        <f t="shared" si="48"/>
        <v>-313.29263231408748</v>
      </c>
      <c r="AG71" s="43">
        <f>IF(C68&gt;0,L71,"")</f>
        <v>8.4836759075711576</v>
      </c>
      <c r="AH71" s="43">
        <f>AH70</f>
        <v>181.83941181901429</v>
      </c>
      <c r="AI71" s="43">
        <f>-AI70</f>
        <v>-906.41522996686899</v>
      </c>
    </row>
    <row r="72" spans="2:46" s="12" customFormat="1" ht="11.25" x14ac:dyDescent="0.2">
      <c r="B72" s="9"/>
      <c r="C72" s="9"/>
      <c r="D72" s="115"/>
      <c r="E72" s="116"/>
      <c r="F72" s="116"/>
      <c r="G72" s="117"/>
      <c r="H72" s="117"/>
      <c r="I72" s="114"/>
      <c r="J72" s="114"/>
      <c r="K72" s="125">
        <f>K71</f>
        <v>104.13844505705336</v>
      </c>
      <c r="L72" s="125">
        <f>L71</f>
        <v>8.4836759075711576</v>
      </c>
      <c r="M72" s="187">
        <f>((D70-D71)^2+(E70-E71)^2)^0.5</f>
        <v>13.171068057167053</v>
      </c>
      <c r="N72" s="125">
        <f>((I70-I67)^2+(J70-J67)^2)^0.5</f>
        <v>1.8994633059507224</v>
      </c>
      <c r="O72" s="125">
        <f>O69+N72</f>
        <v>183.73887512496501</v>
      </c>
      <c r="P72" s="156">
        <f>((D70-D71)^2+(E70-E71)^2)^0.5*Panels!$T$114</f>
        <v>753.38509286995554</v>
      </c>
      <c r="S72" s="223">
        <f t="shared" si="39"/>
        <v>376.69254643497777</v>
      </c>
      <c r="T72" s="224">
        <f t="shared" si="40"/>
        <v>-376.69254643497777</v>
      </c>
      <c r="U72" s="229">
        <f t="shared" si="41"/>
        <v>-1.8428636394673958E-9</v>
      </c>
      <c r="V72" s="221"/>
      <c r="W72" s="218">
        <f t="shared" si="42"/>
        <v>376.6925464358992</v>
      </c>
      <c r="X72" s="221"/>
      <c r="Y72" s="202">
        <f t="shared" si="43"/>
        <v>376.6925464358992</v>
      </c>
      <c r="Z72" s="203">
        <f t="shared" si="44"/>
        <v>-376.6925464358992</v>
      </c>
      <c r="AA72" s="221"/>
      <c r="AB72" s="206">
        <f t="shared" si="45"/>
        <v>347.20811416501192</v>
      </c>
      <c r="AC72" s="207">
        <f t="shared" si="46"/>
        <v>-347.20811416501192</v>
      </c>
      <c r="AD72" s="221"/>
      <c r="AE72" s="208">
        <f t="shared" si="47"/>
        <v>315.94440808050115</v>
      </c>
      <c r="AF72" s="209">
        <f t="shared" si="48"/>
        <v>-315.94440808050115</v>
      </c>
      <c r="AG72" s="43">
        <f>IF(C68&gt;0,L72,"")</f>
        <v>8.4836759075711576</v>
      </c>
      <c r="AJ72" s="43">
        <f>AJ69+N72</f>
        <v>183.73887512496501</v>
      </c>
    </row>
    <row r="73" spans="2:46" s="12" customFormat="1" ht="11.25" x14ac:dyDescent="0.2">
      <c r="B73" s="9"/>
      <c r="C73" s="9"/>
      <c r="D73" s="109">
        <f>D70</f>
        <v>104.29487390892749</v>
      </c>
      <c r="E73" s="110">
        <f>E70</f>
        <v>15.067351815142317</v>
      </c>
      <c r="F73" s="116"/>
      <c r="G73" s="110">
        <f>IF(Design!$H$19="x",D73,0)</f>
        <v>0</v>
      </c>
      <c r="H73" s="110">
        <f>IF(Design!$H$19="x",E73,0)</f>
        <v>0</v>
      </c>
      <c r="I73" s="110">
        <f>SUM(D73:D74)/2</f>
        <v>100.79585183392803</v>
      </c>
      <c r="J73" s="110">
        <f>SUM(E73:E74)/2</f>
        <v>8.4836759075711576</v>
      </c>
      <c r="K73" s="110">
        <f>IF(Design!$H$18="x",I73,0)</f>
        <v>100.79585183392803</v>
      </c>
      <c r="L73" s="110">
        <f>IF(Design!$H$18="x",J73,0)</f>
        <v>8.4836759075711576</v>
      </c>
      <c r="M73" s="120"/>
      <c r="N73" s="110">
        <f t="shared" ref="N73:P73" si="71">N72</f>
        <v>1.8994633059507224</v>
      </c>
      <c r="O73" s="110">
        <f t="shared" si="71"/>
        <v>183.73887512496501</v>
      </c>
      <c r="P73" s="154">
        <f t="shared" si="71"/>
        <v>753.38509286995554</v>
      </c>
      <c r="S73" s="223">
        <f t="shared" si="39"/>
        <v>376.69254643497777</v>
      </c>
      <c r="T73" s="224">
        <f t="shared" si="40"/>
        <v>-376.69254643497777</v>
      </c>
      <c r="U73" s="229">
        <f t="shared" si="41"/>
        <v>-1.8428636394673958E-9</v>
      </c>
      <c r="V73" s="221"/>
      <c r="W73" s="218">
        <f t="shared" si="42"/>
        <v>376.6925464358992</v>
      </c>
      <c r="X73" s="221"/>
      <c r="Y73" s="202">
        <f t="shared" si="43"/>
        <v>376.6925464358992</v>
      </c>
      <c r="Z73" s="203">
        <f t="shared" si="44"/>
        <v>-376.6925464358992</v>
      </c>
      <c r="AA73" s="221"/>
      <c r="AB73" s="206">
        <f t="shared" si="45"/>
        <v>347.20811416501192</v>
      </c>
      <c r="AC73" s="207">
        <f t="shared" si="46"/>
        <v>-347.20811416501192</v>
      </c>
      <c r="AD73" s="221"/>
      <c r="AE73" s="208">
        <f t="shared" si="47"/>
        <v>315.94440808050115</v>
      </c>
      <c r="AF73" s="209">
        <f t="shared" si="48"/>
        <v>-315.94440808050115</v>
      </c>
      <c r="AG73" s="43">
        <f>IF(C71&gt;0,L73,"")</f>
        <v>8.4836759075711576</v>
      </c>
      <c r="AH73" s="43">
        <f>O72</f>
        <v>183.73887512496501</v>
      </c>
      <c r="AI73" s="43">
        <f>$R$165/2</f>
        <v>906.41522996686899</v>
      </c>
      <c r="AJ73" s="43"/>
    </row>
    <row r="74" spans="2:46" s="12" customFormat="1" ht="11.25" x14ac:dyDescent="0.2">
      <c r="B74" s="9">
        <f t="shared" ref="B74" si="72">B98+1</f>
        <v>24</v>
      </c>
      <c r="C74" s="38">
        <f t="shared" ref="C74" si="73">C71+1</f>
        <v>19</v>
      </c>
      <c r="D74" s="112">
        <f>(D71+Panels!C69)/2</f>
        <v>97.296829758928567</v>
      </c>
      <c r="E74" s="113">
        <f>E71</f>
        <v>1.9</v>
      </c>
      <c r="F74" s="116"/>
      <c r="G74" s="113">
        <f>IF(Design!$H$19="x",D74,0)</f>
        <v>0</v>
      </c>
      <c r="H74" s="113">
        <f>IF(Design!$H$19="x",E74,0)</f>
        <v>0</v>
      </c>
      <c r="I74" s="114"/>
      <c r="J74" s="114"/>
      <c r="K74" s="113">
        <f>K73</f>
        <v>100.79585183392803</v>
      </c>
      <c r="L74" s="113">
        <f>L73</f>
        <v>8.4836759075711576</v>
      </c>
      <c r="M74" s="118"/>
      <c r="N74" s="113">
        <f t="shared" ref="N74:P74" si="74">N73</f>
        <v>1.8994633059507224</v>
      </c>
      <c r="O74" s="113">
        <f t="shared" si="74"/>
        <v>183.73887512496501</v>
      </c>
      <c r="P74" s="155">
        <f t="shared" si="74"/>
        <v>753.38509286995554</v>
      </c>
      <c r="Q74" s="43">
        <f>ATAN((E73-E74)/(D73-D74))*180/PI()</f>
        <v>62.010724122659894</v>
      </c>
      <c r="R74" s="43"/>
      <c r="S74" s="223">
        <f t="shared" si="39"/>
        <v>376.69254643497777</v>
      </c>
      <c r="T74" s="224">
        <f t="shared" si="40"/>
        <v>-376.69254643497777</v>
      </c>
      <c r="U74" s="229">
        <f t="shared" si="41"/>
        <v>-1.8428636394673958E-9</v>
      </c>
      <c r="V74" s="221"/>
      <c r="W74" s="218">
        <f t="shared" si="42"/>
        <v>376.6925464358992</v>
      </c>
      <c r="X74" s="221"/>
      <c r="Y74" s="202">
        <f t="shared" si="43"/>
        <v>376.6925464358992</v>
      </c>
      <c r="Z74" s="203">
        <f t="shared" si="44"/>
        <v>-376.6925464358992</v>
      </c>
      <c r="AA74" s="221"/>
      <c r="AB74" s="206">
        <f t="shared" si="45"/>
        <v>347.20811416501192</v>
      </c>
      <c r="AC74" s="207">
        <f t="shared" si="46"/>
        <v>-347.20811416501192</v>
      </c>
      <c r="AD74" s="221"/>
      <c r="AE74" s="208">
        <f t="shared" si="47"/>
        <v>315.94440808050115</v>
      </c>
      <c r="AF74" s="209">
        <f t="shared" si="48"/>
        <v>-315.94440808050115</v>
      </c>
      <c r="AG74" s="43">
        <f>IF(C71&gt;0,L74,"")</f>
        <v>8.4836759075711576</v>
      </c>
      <c r="AH74" s="43">
        <f>AH73</f>
        <v>183.73887512496501</v>
      </c>
      <c r="AI74" s="43">
        <f>-AI73</f>
        <v>-906.41522996686899</v>
      </c>
    </row>
    <row r="75" spans="2:46" s="12" customFormat="1" ht="11.25" x14ac:dyDescent="0.2">
      <c r="B75" s="9"/>
      <c r="C75" s="9"/>
      <c r="D75" s="115"/>
      <c r="E75" s="116"/>
      <c r="F75" s="116"/>
      <c r="G75" s="117"/>
      <c r="H75" s="117"/>
      <c r="I75" s="114"/>
      <c r="J75" s="114"/>
      <c r="K75" s="125">
        <f>K74</f>
        <v>100.79585183392803</v>
      </c>
      <c r="L75" s="125">
        <f>L74</f>
        <v>8.4836759075711576</v>
      </c>
      <c r="M75" s="187">
        <f>((D73-D74)^2+(E73-E74)^2)^0.5</f>
        <v>14.911464574248424</v>
      </c>
      <c r="N75" s="125">
        <f>((I73-I70)^2+(J73-J70)^2)^0.5</f>
        <v>3.3425932231253341</v>
      </c>
      <c r="O75" s="125">
        <f>O72+N75</f>
        <v>187.08146834809034</v>
      </c>
      <c r="P75" s="156">
        <f>((D73-D74)^2+(E73-E74)^2)^0.5*Panels!$T$114</f>
        <v>852.93577364700991</v>
      </c>
      <c r="S75" s="223">
        <f t="shared" si="39"/>
        <v>426.46788682350495</v>
      </c>
      <c r="T75" s="224">
        <f t="shared" si="40"/>
        <v>-426.46788682350495</v>
      </c>
      <c r="U75" s="229">
        <f t="shared" si="41"/>
        <v>90.466139853690379</v>
      </c>
      <c r="V75" s="221"/>
      <c r="W75" s="218">
        <f t="shared" si="42"/>
        <v>381.23481689665977</v>
      </c>
      <c r="X75" s="221"/>
      <c r="Y75" s="202">
        <f t="shared" si="43"/>
        <v>381.23481689665977</v>
      </c>
      <c r="Z75" s="203">
        <f t="shared" si="44"/>
        <v>-381.23481689665977</v>
      </c>
      <c r="AA75" s="221"/>
      <c r="AB75" s="206">
        <f t="shared" si="45"/>
        <v>351.97990081347109</v>
      </c>
      <c r="AC75" s="207">
        <f t="shared" si="46"/>
        <v>-351.97990081347109</v>
      </c>
      <c r="AD75" s="221"/>
      <c r="AE75" s="208">
        <f t="shared" si="47"/>
        <v>320.66550749655141</v>
      </c>
      <c r="AF75" s="209">
        <f t="shared" si="48"/>
        <v>-320.66550749655141</v>
      </c>
      <c r="AG75" s="43">
        <f>IF(C71&gt;0,L75,"")</f>
        <v>8.4836759075711576</v>
      </c>
      <c r="AJ75" s="43">
        <f>AJ72+N75</f>
        <v>187.08146834809034</v>
      </c>
    </row>
    <row r="76" spans="2:46" s="12" customFormat="1" ht="11.25" x14ac:dyDescent="0.2">
      <c r="B76" s="9"/>
      <c r="C76" s="9"/>
      <c r="D76" s="109">
        <f>D73</f>
        <v>104.29487390892749</v>
      </c>
      <c r="E76" s="110">
        <f>E73</f>
        <v>15.067351815142317</v>
      </c>
      <c r="F76" s="116"/>
      <c r="G76" s="110">
        <f>IF(Design!$H$19="x",D76,0)</f>
        <v>0</v>
      </c>
      <c r="H76" s="110">
        <f>IF(Design!$H$19="x",E76,0)</f>
        <v>0</v>
      </c>
      <c r="I76" s="110">
        <f>SUM(D76:D77)/2</f>
        <v>97.453258610802692</v>
      </c>
      <c r="J76" s="110">
        <f>SUM(E76:E77)/2</f>
        <v>15.150488958215373</v>
      </c>
      <c r="K76" s="110">
        <f>IF(Design!$H$18="x",I76,0)</f>
        <v>97.453258610802692</v>
      </c>
      <c r="L76" s="110">
        <f>IF(Design!$H$18="x",J76,0)</f>
        <v>15.150488958215373</v>
      </c>
      <c r="M76" s="120"/>
      <c r="N76" s="110">
        <f t="shared" ref="N76:P76" si="75">N75</f>
        <v>3.3425932231253341</v>
      </c>
      <c r="O76" s="110">
        <f t="shared" si="75"/>
        <v>187.08146834809034</v>
      </c>
      <c r="P76" s="154">
        <f t="shared" si="75"/>
        <v>852.93577364700991</v>
      </c>
      <c r="S76" s="223">
        <f t="shared" si="39"/>
        <v>426.46788682350495</v>
      </c>
      <c r="T76" s="224">
        <f t="shared" si="40"/>
        <v>-426.46788682350495</v>
      </c>
      <c r="U76" s="229">
        <f t="shared" si="41"/>
        <v>90.466139853690379</v>
      </c>
      <c r="V76" s="221"/>
      <c r="W76" s="218">
        <f t="shared" si="42"/>
        <v>381.23481689665977</v>
      </c>
      <c r="X76" s="221"/>
      <c r="Y76" s="202">
        <f t="shared" si="43"/>
        <v>381.23481689665977</v>
      </c>
      <c r="Z76" s="203">
        <f t="shared" si="44"/>
        <v>-381.23481689665977</v>
      </c>
      <c r="AA76" s="221"/>
      <c r="AB76" s="206">
        <f t="shared" si="45"/>
        <v>351.97990081347109</v>
      </c>
      <c r="AC76" s="207">
        <f t="shared" si="46"/>
        <v>-351.97990081347109</v>
      </c>
      <c r="AD76" s="221"/>
      <c r="AE76" s="208">
        <f t="shared" si="47"/>
        <v>320.66550749655141</v>
      </c>
      <c r="AF76" s="209">
        <f t="shared" si="48"/>
        <v>-320.66550749655141</v>
      </c>
      <c r="AG76" s="43">
        <f>IF(C74&gt;0,L76,"")</f>
        <v>15.150488958215373</v>
      </c>
      <c r="AH76" s="43">
        <f>O75</f>
        <v>187.08146834809034</v>
      </c>
      <c r="AI76" s="43">
        <f>$R$165/2</f>
        <v>906.41522996686899</v>
      </c>
      <c r="AJ76" s="43"/>
    </row>
    <row r="77" spans="2:46" s="12" customFormat="1" ht="11.25" x14ac:dyDescent="0.2">
      <c r="B77" s="9">
        <f t="shared" si="2"/>
        <v>23</v>
      </c>
      <c r="C77" s="38">
        <f t="shared" ref="C77" si="76">C74+1</f>
        <v>20</v>
      </c>
      <c r="D77" s="112">
        <f>Panels!C69</f>
        <v>90.611643312677913</v>
      </c>
      <c r="E77" s="113">
        <f>E76-(D74-D73)*Panels!$Y$5</f>
        <v>15.233626101288428</v>
      </c>
      <c r="F77" s="116"/>
      <c r="G77" s="113">
        <f>IF(Design!$H$19="x",D77,0)</f>
        <v>0</v>
      </c>
      <c r="H77" s="113">
        <f>IF(Design!$H$19="x",E77,0)</f>
        <v>0</v>
      </c>
      <c r="I77" s="114"/>
      <c r="J77" s="114"/>
      <c r="K77" s="113">
        <f>K76</f>
        <v>97.453258610802692</v>
      </c>
      <c r="L77" s="113">
        <f>L76</f>
        <v>15.150488958215373</v>
      </c>
      <c r="M77" s="118"/>
      <c r="N77" s="113">
        <f t="shared" ref="N77:P77" si="77">N76</f>
        <v>3.3425932231253341</v>
      </c>
      <c r="O77" s="113">
        <f t="shared" si="77"/>
        <v>187.08146834809034</v>
      </c>
      <c r="P77" s="155">
        <f t="shared" si="77"/>
        <v>852.93577364700991</v>
      </c>
      <c r="Q77" s="43">
        <f>ATAN((E76-E77)/(D76-D77))*180/PI()</f>
        <v>-0.69620590631726886</v>
      </c>
      <c r="R77" s="43"/>
      <c r="S77" s="223">
        <f t="shared" si="39"/>
        <v>426.46788682350495</v>
      </c>
      <c r="T77" s="224">
        <f t="shared" si="40"/>
        <v>-426.46788682350495</v>
      </c>
      <c r="U77" s="229">
        <f t="shared" si="41"/>
        <v>90.466139853690379</v>
      </c>
      <c r="V77" s="221"/>
      <c r="W77" s="218">
        <f t="shared" si="42"/>
        <v>381.23481689665977</v>
      </c>
      <c r="X77" s="221"/>
      <c r="Y77" s="202">
        <f t="shared" si="43"/>
        <v>381.23481689665977</v>
      </c>
      <c r="Z77" s="203">
        <f t="shared" si="44"/>
        <v>-381.23481689665977</v>
      </c>
      <c r="AA77" s="221"/>
      <c r="AB77" s="206">
        <f t="shared" si="45"/>
        <v>351.97990081347109</v>
      </c>
      <c r="AC77" s="207">
        <f t="shared" si="46"/>
        <v>-351.97990081347109</v>
      </c>
      <c r="AD77" s="221"/>
      <c r="AE77" s="208">
        <f t="shared" si="47"/>
        <v>320.66550749655141</v>
      </c>
      <c r="AF77" s="209">
        <f t="shared" si="48"/>
        <v>-320.66550749655141</v>
      </c>
      <c r="AG77" s="43">
        <f>IF(C74&gt;0,L77,"")</f>
        <v>15.150488958215373</v>
      </c>
      <c r="AH77" s="43">
        <f>AH76</f>
        <v>187.08146834809034</v>
      </c>
      <c r="AI77" s="43">
        <f>-AI76</f>
        <v>-906.41522996686899</v>
      </c>
    </row>
    <row r="78" spans="2:46" s="12" customFormat="1" ht="11.25" x14ac:dyDescent="0.2">
      <c r="B78" s="9"/>
      <c r="C78" s="9"/>
      <c r="D78" s="115"/>
      <c r="E78" s="116"/>
      <c r="F78" s="116"/>
      <c r="G78" s="117"/>
      <c r="H78" s="117"/>
      <c r="I78" s="114"/>
      <c r="J78" s="114"/>
      <c r="K78" s="125">
        <f>K77</f>
        <v>97.453258610802692</v>
      </c>
      <c r="L78" s="125">
        <f>L77</f>
        <v>15.150488958215373</v>
      </c>
      <c r="M78" s="187">
        <f>((D76-D77)^2+(E76-E77)^2)^0.5</f>
        <v>13.684240815199571</v>
      </c>
      <c r="N78" s="125">
        <f>((I76-I73)^2+(J76-J73)^2)^0.5</f>
        <v>7.4578365299544771</v>
      </c>
      <c r="O78" s="125">
        <f>O75+N78</f>
        <v>194.53930487804482</v>
      </c>
      <c r="P78" s="156">
        <f>((D76-D77)^2+(E76-E77)^2)^0.5*Panels!$T$114</f>
        <v>782.73857462941544</v>
      </c>
      <c r="S78" s="223">
        <f t="shared" si="39"/>
        <v>391.36928731470772</v>
      </c>
      <c r="T78" s="224">
        <f t="shared" si="40"/>
        <v>-391.36928731470772</v>
      </c>
      <c r="U78" s="229">
        <f t="shared" si="41"/>
        <v>-5.8895507777378953E-5</v>
      </c>
      <c r="V78" s="221"/>
      <c r="W78" s="218">
        <f t="shared" si="42"/>
        <v>391.36931676246161</v>
      </c>
      <c r="X78" s="221"/>
      <c r="Y78" s="202">
        <f t="shared" si="43"/>
        <v>391.36931676246161</v>
      </c>
      <c r="Z78" s="203">
        <f t="shared" si="44"/>
        <v>-391.36931676246161</v>
      </c>
      <c r="AA78" s="221"/>
      <c r="AB78" s="206">
        <f t="shared" si="45"/>
        <v>362.74387607622458</v>
      </c>
      <c r="AC78" s="207">
        <f t="shared" si="46"/>
        <v>-362.74387607622458</v>
      </c>
      <c r="AD78" s="221"/>
      <c r="AE78" s="208">
        <f t="shared" si="47"/>
        <v>331.45485470191215</v>
      </c>
      <c r="AF78" s="209">
        <f t="shared" si="48"/>
        <v>-331.45485470191215</v>
      </c>
      <c r="AG78" s="43">
        <f>IF(C74&gt;0,L78,"")</f>
        <v>15.150488958215373</v>
      </c>
      <c r="AJ78" s="43">
        <f>AJ75+N78</f>
        <v>194.53930487804482</v>
      </c>
    </row>
    <row r="79" spans="2:46" s="12" customFormat="1" ht="11.25" x14ac:dyDescent="0.2">
      <c r="B79" s="9"/>
      <c r="C79" s="9"/>
      <c r="D79" s="109">
        <f>Panels!C63</f>
        <v>90.611643312677913</v>
      </c>
      <c r="E79" s="110">
        <f>Panels!D63</f>
        <v>48.229287296147568</v>
      </c>
      <c r="F79" s="116"/>
      <c r="G79" s="110">
        <f>IF(Design!$H$19="x",D79,0)</f>
        <v>0</v>
      </c>
      <c r="H79" s="110">
        <f>IF(Design!$H$19="x",E79,0)</f>
        <v>0</v>
      </c>
      <c r="I79" s="110">
        <f>SUM(D79:D80)/2</f>
        <v>98.233242575410543</v>
      </c>
      <c r="J79" s="110">
        <f>SUM(E79:E80)/2</f>
        <v>48.048146134876035</v>
      </c>
      <c r="K79" s="110">
        <f>IF(Design!$H$18="x",I79,0)</f>
        <v>98.233242575410543</v>
      </c>
      <c r="L79" s="110">
        <f>IF(Design!$H$18="x",J79,0)</f>
        <v>48.048146134876035</v>
      </c>
      <c r="M79" s="120"/>
      <c r="N79" s="110">
        <f t="shared" ref="N79:P79" si="78">N78</f>
        <v>7.4578365299544771</v>
      </c>
      <c r="O79" s="110">
        <f t="shared" si="78"/>
        <v>194.53930487804482</v>
      </c>
      <c r="P79" s="154">
        <f t="shared" si="78"/>
        <v>782.73857462941544</v>
      </c>
      <c r="S79" s="223">
        <f t="shared" si="39"/>
        <v>391.36928731470772</v>
      </c>
      <c r="T79" s="224">
        <f t="shared" si="40"/>
        <v>-391.36928731470772</v>
      </c>
      <c r="U79" s="229">
        <f t="shared" si="41"/>
        <v>-5.8895507777378953E-5</v>
      </c>
      <c r="V79" s="221"/>
      <c r="W79" s="218">
        <f t="shared" si="42"/>
        <v>391.36931676246161</v>
      </c>
      <c r="X79" s="221"/>
      <c r="Y79" s="202">
        <f t="shared" si="43"/>
        <v>391.36931676246161</v>
      </c>
      <c r="Z79" s="203">
        <f t="shared" si="44"/>
        <v>-391.36931676246161</v>
      </c>
      <c r="AA79" s="221"/>
      <c r="AB79" s="206">
        <f t="shared" si="45"/>
        <v>362.74387607622458</v>
      </c>
      <c r="AC79" s="207">
        <f t="shared" si="46"/>
        <v>-362.74387607622458</v>
      </c>
      <c r="AD79" s="221"/>
      <c r="AE79" s="208">
        <f t="shared" si="47"/>
        <v>331.45485470191215</v>
      </c>
      <c r="AF79" s="209">
        <f t="shared" si="48"/>
        <v>-331.45485470191215</v>
      </c>
      <c r="AG79" s="43">
        <f>IF(C77&gt;0,L79,"")</f>
        <v>48.048146134876035</v>
      </c>
      <c r="AH79" s="43">
        <f>O78</f>
        <v>194.53930487804482</v>
      </c>
      <c r="AI79" s="43">
        <f>$R$165/2</f>
        <v>906.41522996686899</v>
      </c>
      <c r="AJ79" s="43"/>
      <c r="AM79" s="43">
        <f>Panels!C72</f>
        <v>106.68201586430816</v>
      </c>
      <c r="AN79" s="43">
        <f>Panels!D72</f>
        <v>65.25904275321588</v>
      </c>
      <c r="AO79" s="43">
        <f>Panels!C73</f>
        <v>104.29487390892749</v>
      </c>
      <c r="AP79" s="43">
        <f>Panels!D73</f>
        <v>15.067351815142317</v>
      </c>
      <c r="AQ79" s="107">
        <f>(AP79-AN79)/(AO79-AM79)</f>
        <v>21.025850944867518</v>
      </c>
      <c r="AR79" s="107">
        <f>(AP79*AM79-AN79*AO79)/(AM79-AO79)</f>
        <v>-2177.8211213077193</v>
      </c>
    </row>
    <row r="80" spans="2:46" s="12" customFormat="1" ht="11.25" x14ac:dyDescent="0.2">
      <c r="B80" s="9">
        <f t="shared" ref="B80" si="79">B104+1</f>
        <v>22</v>
      </c>
      <c r="C80" s="38">
        <f t="shared" ref="C80" si="80">C77+1</f>
        <v>21</v>
      </c>
      <c r="D80" s="112">
        <f>AS80</f>
        <v>105.85484183814316</v>
      </c>
      <c r="E80" s="113">
        <f>AT80</f>
        <v>47.867004973604502</v>
      </c>
      <c r="F80" s="116"/>
      <c r="G80" s="113">
        <f>IF(Design!$H$19="x",D80,0)</f>
        <v>0</v>
      </c>
      <c r="H80" s="113">
        <f>IF(Design!$H$19="x",E80,0)</f>
        <v>0</v>
      </c>
      <c r="I80" s="114"/>
      <c r="J80" s="114"/>
      <c r="K80" s="113">
        <f>K79</f>
        <v>98.233242575410543</v>
      </c>
      <c r="L80" s="113">
        <f>L79</f>
        <v>48.048146134876035</v>
      </c>
      <c r="M80" s="118"/>
      <c r="N80" s="113">
        <f t="shared" ref="N80:P80" si="81">N79</f>
        <v>7.4578365299544771</v>
      </c>
      <c r="O80" s="113">
        <f t="shared" si="81"/>
        <v>194.53930487804482</v>
      </c>
      <c r="P80" s="155">
        <f t="shared" si="81"/>
        <v>782.73857462941544</v>
      </c>
      <c r="Q80" s="43">
        <f>ATAN((E79-E80)/(D79-D80))*180/PI()</f>
        <v>-1.3614820432195589</v>
      </c>
      <c r="R80" s="43"/>
      <c r="S80" s="223">
        <f t="shared" si="39"/>
        <v>391.36928731470772</v>
      </c>
      <c r="T80" s="224">
        <f t="shared" si="40"/>
        <v>-391.36928731470772</v>
      </c>
      <c r="U80" s="229">
        <f t="shared" si="41"/>
        <v>-5.8895507777378953E-5</v>
      </c>
      <c r="V80" s="221"/>
      <c r="W80" s="218">
        <f t="shared" si="42"/>
        <v>391.36931676246161</v>
      </c>
      <c r="X80" s="221"/>
      <c r="Y80" s="202">
        <f t="shared" si="43"/>
        <v>391.36931676246161</v>
      </c>
      <c r="Z80" s="203">
        <f t="shared" si="44"/>
        <v>-391.36931676246161</v>
      </c>
      <c r="AA80" s="221"/>
      <c r="AB80" s="206">
        <f t="shared" si="45"/>
        <v>362.74387607622458</v>
      </c>
      <c r="AC80" s="207">
        <f t="shared" si="46"/>
        <v>-362.74387607622458</v>
      </c>
      <c r="AD80" s="221"/>
      <c r="AE80" s="208">
        <f t="shared" si="47"/>
        <v>331.45485470191215</v>
      </c>
      <c r="AF80" s="209">
        <f t="shared" si="48"/>
        <v>-331.45485470191215</v>
      </c>
      <c r="AG80" s="43">
        <f>IF(C77&gt;0,L80,"")</f>
        <v>48.048146134876035</v>
      </c>
      <c r="AH80" s="43">
        <f>AH79</f>
        <v>194.53930487804482</v>
      </c>
      <c r="AI80" s="43">
        <f>-AI79</f>
        <v>-906.41522996686899</v>
      </c>
      <c r="AM80" s="43">
        <f>D79</f>
        <v>90.611643312677913</v>
      </c>
      <c r="AN80" s="43">
        <f>E79</f>
        <v>48.229287296147568</v>
      </c>
      <c r="AO80" s="43">
        <f>AM80+10*N$3</f>
        <v>100.60882020047298</v>
      </c>
      <c r="AP80" s="43">
        <f>AN80-10*O$3</f>
        <v>47.991686214213644</v>
      </c>
      <c r="AQ80" s="107">
        <f>IF(AO80&lt;&gt;AM80,(AP80-AN80)/(AO80-AM80),"")</f>
        <v>-2.3766817832742038E-2</v>
      </c>
      <c r="AR80" s="107">
        <f>IF(AQ80&lt;&gt;"",(AP80*AM80-AN80*AO80)/(AM80-AO80),AM80)</f>
        <v>50.382837716285373</v>
      </c>
      <c r="AS80" s="43">
        <f>IF(AQ80&lt;&gt;"",(AR79-AR80)/(AQ80-AQ79),AM80)</f>
        <v>105.85484183814316</v>
      </c>
      <c r="AT80" s="43">
        <f>IF(AQ80&lt;&gt;"",AS80*AQ80+AR80,AN79)</f>
        <v>47.867004973604502</v>
      </c>
    </row>
    <row r="81" spans="2:46" s="12" customFormat="1" ht="11.25" x14ac:dyDescent="0.2">
      <c r="B81" s="9"/>
      <c r="C81" s="9"/>
      <c r="D81" s="115"/>
      <c r="E81" s="116"/>
      <c r="F81" s="116"/>
      <c r="G81" s="117"/>
      <c r="H81" s="117"/>
      <c r="I81" s="114"/>
      <c r="J81" s="114"/>
      <c r="K81" s="113">
        <f>K80</f>
        <v>98.233242575410543</v>
      </c>
      <c r="L81" s="113">
        <f>L80</f>
        <v>48.048146134876035</v>
      </c>
      <c r="M81" s="187">
        <f>((D79-D80)^2+(E79-E80)^2)^0.5</f>
        <v>15.247503066665475</v>
      </c>
      <c r="N81" s="125">
        <f>((I79-I76)^2+(J79-J76)^2)^0.5</f>
        <v>32.906902356468287</v>
      </c>
      <c r="O81" s="125">
        <f>O78+N81</f>
        <v>227.44620723451311</v>
      </c>
      <c r="P81" s="156">
        <f>((D79-D80)^2+(E79-E80)^2)^0.5*Panels!$T$114</f>
        <v>872.15717541326524</v>
      </c>
      <c r="S81" s="223">
        <f t="shared" si="39"/>
        <v>436.07858770663262</v>
      </c>
      <c r="T81" s="224">
        <f t="shared" si="40"/>
        <v>-436.07858770663262</v>
      </c>
      <c r="U81" s="229">
        <f t="shared" si="41"/>
        <v>-1.6241557525859207E-2</v>
      </c>
      <c r="V81" s="221"/>
      <c r="W81" s="218">
        <f t="shared" si="42"/>
        <v>436.08670848539555</v>
      </c>
      <c r="X81" s="221"/>
      <c r="Y81" s="202">
        <f t="shared" si="43"/>
        <v>436.08670848539555</v>
      </c>
      <c r="Z81" s="203">
        <f t="shared" si="44"/>
        <v>-436.08670848539555</v>
      </c>
      <c r="AA81" s="221"/>
      <c r="AB81" s="206">
        <f t="shared" si="45"/>
        <v>412.17458143241231</v>
      </c>
      <c r="AC81" s="207">
        <f t="shared" si="46"/>
        <v>-412.17458143241231</v>
      </c>
      <c r="AD81" s="221"/>
      <c r="AE81" s="208">
        <f t="shared" si="47"/>
        <v>383.56581532983552</v>
      </c>
      <c r="AF81" s="209">
        <f t="shared" si="48"/>
        <v>-383.56581532983552</v>
      </c>
      <c r="AG81" s="43">
        <f>IF(C77&gt;0,L81,"")</f>
        <v>48.048146134876035</v>
      </c>
      <c r="AJ81" s="43">
        <f>AJ78+N81</f>
        <v>227.44620723451311</v>
      </c>
    </row>
    <row r="82" spans="2:46" s="12" customFormat="1" ht="11.25" x14ac:dyDescent="0.2">
      <c r="B82" s="9"/>
      <c r="C82" s="9"/>
      <c r="D82" s="109">
        <f>D79</f>
        <v>90.611643312677913</v>
      </c>
      <c r="E82" s="110">
        <f>E79</f>
        <v>48.229287296147568</v>
      </c>
      <c r="F82" s="243"/>
      <c r="G82" s="110">
        <f>IF(Design!$H$19="x",D82,0)</f>
        <v>0</v>
      </c>
      <c r="H82" s="110">
        <f>IF(Design!$H$19="x",E82,0)</f>
        <v>0</v>
      </c>
      <c r="I82" s="110">
        <f>SUM(D82:D83)/2</f>
        <v>98.417470351525949</v>
      </c>
      <c r="J82" s="110">
        <f>SUM(E82:E83)/2</f>
        <v>51.921691895383177</v>
      </c>
      <c r="K82" s="110">
        <f>IF(Design!$H$18="x",I82,0)</f>
        <v>98.417470351525949</v>
      </c>
      <c r="L82" s="110">
        <f>IF(Design!$H$18="x",J82,0)</f>
        <v>51.921691895383177</v>
      </c>
      <c r="M82" s="120"/>
      <c r="N82" s="110">
        <f t="shared" ref="N82:P82" si="82">N81</f>
        <v>32.906902356468287</v>
      </c>
      <c r="O82" s="110">
        <f t="shared" si="82"/>
        <v>227.44620723451311</v>
      </c>
      <c r="P82" s="154">
        <f t="shared" si="82"/>
        <v>872.15717541326524</v>
      </c>
      <c r="S82" s="223">
        <f t="shared" si="39"/>
        <v>436.07858770663262</v>
      </c>
      <c r="T82" s="224">
        <f t="shared" si="40"/>
        <v>-436.07858770663262</v>
      </c>
      <c r="U82" s="229">
        <f t="shared" si="41"/>
        <v>-1.6241557525859207E-2</v>
      </c>
      <c r="V82" s="221"/>
      <c r="W82" s="218">
        <f t="shared" si="42"/>
        <v>436.08670848539555</v>
      </c>
      <c r="X82" s="221"/>
      <c r="Y82" s="202">
        <f t="shared" si="43"/>
        <v>436.08670848539555</v>
      </c>
      <c r="Z82" s="203">
        <f t="shared" si="44"/>
        <v>-436.08670848539555</v>
      </c>
      <c r="AA82" s="221"/>
      <c r="AB82" s="206">
        <f t="shared" si="45"/>
        <v>412.17458143241231</v>
      </c>
      <c r="AC82" s="207">
        <f t="shared" si="46"/>
        <v>-412.17458143241231</v>
      </c>
      <c r="AD82" s="221"/>
      <c r="AE82" s="208">
        <f t="shared" si="47"/>
        <v>383.56581532983552</v>
      </c>
      <c r="AF82" s="209">
        <f t="shared" si="48"/>
        <v>-383.56581532983552</v>
      </c>
      <c r="AG82" s="43">
        <f>IF(C80&gt;0,L82,"")</f>
        <v>51.921691895383177</v>
      </c>
      <c r="AH82" s="43">
        <f>O81</f>
        <v>227.44620723451311</v>
      </c>
      <c r="AI82" s="43">
        <f>$R$165/2</f>
        <v>906.41522996686899</v>
      </c>
      <c r="AJ82" s="43"/>
    </row>
    <row r="83" spans="2:46" s="12" customFormat="1" ht="11.25" x14ac:dyDescent="0.2">
      <c r="B83" s="9">
        <f t="shared" si="2"/>
        <v>21</v>
      </c>
      <c r="C83" s="38">
        <f t="shared" ref="C83" si="83">C80+1</f>
        <v>22</v>
      </c>
      <c r="D83" s="112">
        <f>(D80+Panels!C56)/2</f>
        <v>106.22329739037399</v>
      </c>
      <c r="E83" s="113">
        <f>(E80+Panels!D56)/2</f>
        <v>55.614096494618778</v>
      </c>
      <c r="F83" s="116"/>
      <c r="G83" s="113">
        <f>IF(Design!$H$19="x",D83,0)</f>
        <v>0</v>
      </c>
      <c r="H83" s="113">
        <f>IF(Design!$H$19="x",E83,0)</f>
        <v>0</v>
      </c>
      <c r="I83" s="114"/>
      <c r="J83" s="114"/>
      <c r="K83" s="113">
        <f>K82</f>
        <v>98.417470351525949</v>
      </c>
      <c r="L83" s="113">
        <f>L82</f>
        <v>51.921691895383177</v>
      </c>
      <c r="M83" s="118"/>
      <c r="N83" s="113">
        <f t="shared" ref="N83:P83" si="84">N82</f>
        <v>32.906902356468287</v>
      </c>
      <c r="O83" s="113">
        <f t="shared" si="84"/>
        <v>227.44620723451311</v>
      </c>
      <c r="P83" s="155">
        <f t="shared" si="84"/>
        <v>872.15717541326524</v>
      </c>
      <c r="Q83" s="43">
        <f>ATAN((E82-E83)/(D82-D83))*180/PI()</f>
        <v>25.31563922306399</v>
      </c>
      <c r="R83" s="43"/>
      <c r="S83" s="223">
        <f t="shared" si="39"/>
        <v>436.07858770663262</v>
      </c>
      <c r="T83" s="224">
        <f t="shared" si="40"/>
        <v>-436.07858770663262</v>
      </c>
      <c r="U83" s="229">
        <f t="shared" si="41"/>
        <v>-1.6241557525859207E-2</v>
      </c>
      <c r="V83" s="221"/>
      <c r="W83" s="218">
        <f t="shared" si="42"/>
        <v>436.08670848539555</v>
      </c>
      <c r="X83" s="221"/>
      <c r="Y83" s="202">
        <f t="shared" si="43"/>
        <v>436.08670848539555</v>
      </c>
      <c r="Z83" s="203">
        <f t="shared" si="44"/>
        <v>-436.08670848539555</v>
      </c>
      <c r="AA83" s="221"/>
      <c r="AB83" s="206">
        <f t="shared" si="45"/>
        <v>412.17458143241231</v>
      </c>
      <c r="AC83" s="207">
        <f t="shared" si="46"/>
        <v>-412.17458143241231</v>
      </c>
      <c r="AD83" s="221"/>
      <c r="AE83" s="208">
        <f t="shared" si="47"/>
        <v>383.56581532983552</v>
      </c>
      <c r="AF83" s="209">
        <f t="shared" si="48"/>
        <v>-383.56581532983552</v>
      </c>
      <c r="AG83" s="43">
        <f>IF(C80&gt;0,L83,"")</f>
        <v>51.921691895383177</v>
      </c>
      <c r="AH83" s="43">
        <f>AH82</f>
        <v>227.44620723451311</v>
      </c>
      <c r="AI83" s="43">
        <f>-AI82</f>
        <v>-906.41522996686899</v>
      </c>
    </row>
    <row r="84" spans="2:46" s="12" customFormat="1" ht="11.25" x14ac:dyDescent="0.2">
      <c r="B84" s="9"/>
      <c r="C84" s="9"/>
      <c r="D84" s="122"/>
      <c r="E84" s="123"/>
      <c r="F84" s="123"/>
      <c r="G84" s="124"/>
      <c r="H84" s="124"/>
      <c r="I84" s="128"/>
      <c r="J84" s="128"/>
      <c r="K84" s="125">
        <f>K83</f>
        <v>98.417470351525949</v>
      </c>
      <c r="L84" s="125">
        <f>L83</f>
        <v>51.921691895383177</v>
      </c>
      <c r="M84" s="187">
        <f>((D82-D83)^2+(E82-E83)^2)^0.5</f>
        <v>17.270180946923208</v>
      </c>
      <c r="N84" s="125">
        <f>((I82-I79)^2+(J82-J79)^2)^0.5</f>
        <v>3.8779242685018076</v>
      </c>
      <c r="O84" s="125">
        <f>O81+N84</f>
        <v>231.32413150301491</v>
      </c>
      <c r="P84" s="156">
        <f>((D82-D83)^2+(E82-E83)^2)^0.5*Panels!$T$114</f>
        <v>987.85435016400754</v>
      </c>
      <c r="S84" s="223">
        <f t="shared" si="39"/>
        <v>493.92717508200377</v>
      </c>
      <c r="T84" s="224">
        <f t="shared" si="40"/>
        <v>-493.92717508200377</v>
      </c>
      <c r="U84" s="229">
        <f t="shared" si="41"/>
        <v>105.14146298067715</v>
      </c>
      <c r="V84" s="221"/>
      <c r="W84" s="218">
        <f t="shared" si="42"/>
        <v>441.3564435916652</v>
      </c>
      <c r="X84" s="221"/>
      <c r="Y84" s="202">
        <f t="shared" si="43"/>
        <v>441.3564435916652</v>
      </c>
      <c r="Z84" s="203">
        <f t="shared" si="44"/>
        <v>-441.3564435916652</v>
      </c>
      <c r="AA84" s="221"/>
      <c r="AB84" s="206">
        <f t="shared" si="45"/>
        <v>418.20765349521372</v>
      </c>
      <c r="AC84" s="207">
        <f t="shared" si="46"/>
        <v>-418.20765349521372</v>
      </c>
      <c r="AD84" s="221"/>
      <c r="AE84" s="208">
        <f t="shared" si="47"/>
        <v>390.22322623092805</v>
      </c>
      <c r="AF84" s="209">
        <f t="shared" si="48"/>
        <v>-390.22322623092805</v>
      </c>
      <c r="AG84" s="43">
        <f>IF(C80&gt;0,L84,"")</f>
        <v>51.921691895383177</v>
      </c>
      <c r="AJ84" s="43">
        <f>AJ81+N84</f>
        <v>231.32413150301491</v>
      </c>
    </row>
    <row r="85" spans="2:46" s="12" customFormat="1" ht="11.25" x14ac:dyDescent="0.2">
      <c r="B85" s="9"/>
      <c r="C85" s="9"/>
      <c r="D85" s="109">
        <f>D82</f>
        <v>90.611643312677913</v>
      </c>
      <c r="E85" s="110">
        <f>E82</f>
        <v>48.229287296147568</v>
      </c>
      <c r="F85" s="243"/>
      <c r="G85" s="110">
        <f>IF(Design!$H$19="x",D85,0)</f>
        <v>0</v>
      </c>
      <c r="H85" s="110">
        <f>IF(Design!$H$19="x",E85,0)</f>
        <v>0</v>
      </c>
      <c r="I85" s="110">
        <f>SUM(D85:D86)/2</f>
        <v>94.70098921430926</v>
      </c>
      <c r="J85" s="110">
        <f>SUM(E85:E86)/2</f>
        <v>55.980757325156446</v>
      </c>
      <c r="K85" s="110">
        <f>IF(Design!$H$18="x",I85,0)</f>
        <v>94.70098921430926</v>
      </c>
      <c r="L85" s="110">
        <f>IF(Design!$H$18="x",J85,0)</f>
        <v>55.980757325156446</v>
      </c>
      <c r="M85" s="120"/>
      <c r="N85" s="110">
        <f t="shared" ref="N85:P85" si="85">N84</f>
        <v>3.8779242685018076</v>
      </c>
      <c r="O85" s="110">
        <f t="shared" si="85"/>
        <v>231.32413150301491</v>
      </c>
      <c r="P85" s="154">
        <f t="shared" si="85"/>
        <v>987.85435016400754</v>
      </c>
      <c r="S85" s="223">
        <f t="shared" si="39"/>
        <v>493.92717508200377</v>
      </c>
      <c r="T85" s="224">
        <f t="shared" si="40"/>
        <v>-493.92717508200377</v>
      </c>
      <c r="U85" s="229">
        <f t="shared" si="41"/>
        <v>105.14146298067715</v>
      </c>
      <c r="V85" s="221"/>
      <c r="W85" s="218">
        <f t="shared" si="42"/>
        <v>441.3564435916652</v>
      </c>
      <c r="X85" s="221"/>
      <c r="Y85" s="202">
        <f t="shared" si="43"/>
        <v>441.3564435916652</v>
      </c>
      <c r="Z85" s="203">
        <f t="shared" si="44"/>
        <v>-441.3564435916652</v>
      </c>
      <c r="AA85" s="221"/>
      <c r="AB85" s="206">
        <f t="shared" si="45"/>
        <v>418.20765349521372</v>
      </c>
      <c r="AC85" s="207">
        <f t="shared" si="46"/>
        <v>-418.20765349521372</v>
      </c>
      <c r="AD85" s="221"/>
      <c r="AE85" s="208">
        <f t="shared" si="47"/>
        <v>390.22322623092805</v>
      </c>
      <c r="AF85" s="209">
        <f t="shared" si="48"/>
        <v>-390.22322623092805</v>
      </c>
      <c r="AG85" s="43">
        <f>IF(C83&gt;0,L85,"")</f>
        <v>55.980757325156446</v>
      </c>
      <c r="AH85" s="43">
        <f>O84</f>
        <v>231.32413150301491</v>
      </c>
      <c r="AI85" s="43">
        <f>$R$165/2</f>
        <v>906.41522996686899</v>
      </c>
      <c r="AJ85" s="43"/>
    </row>
    <row r="86" spans="2:46" s="12" customFormat="1" ht="11.25" x14ac:dyDescent="0.2">
      <c r="B86" s="9">
        <f t="shared" ref="B86" si="86">B110+1</f>
        <v>20</v>
      </c>
      <c r="C86" s="38">
        <f t="shared" ref="C86" si="87">C83+1</f>
        <v>23</v>
      </c>
      <c r="D86" s="112">
        <f>(D89+Panels!C56)/2</f>
        <v>98.790335115940621</v>
      </c>
      <c r="E86" s="113">
        <f>(E89+Panels!D56)/2</f>
        <v>63.732227354165332</v>
      </c>
      <c r="F86" s="116"/>
      <c r="G86" s="113">
        <f>IF(Design!$H$19="x",D86,0)</f>
        <v>0</v>
      </c>
      <c r="H86" s="113">
        <f>IF(Design!$H$19="x",E86,0)</f>
        <v>0</v>
      </c>
      <c r="I86" s="114"/>
      <c r="J86" s="114"/>
      <c r="K86" s="113">
        <f>K85</f>
        <v>94.70098921430926</v>
      </c>
      <c r="L86" s="113">
        <f>L85</f>
        <v>55.980757325156446</v>
      </c>
      <c r="M86" s="118"/>
      <c r="N86" s="113">
        <f t="shared" ref="N86:P86" si="88">N85</f>
        <v>3.8779242685018076</v>
      </c>
      <c r="O86" s="113">
        <f t="shared" si="88"/>
        <v>231.32413150301491</v>
      </c>
      <c r="P86" s="155">
        <f t="shared" si="88"/>
        <v>987.85435016400754</v>
      </c>
      <c r="Q86" s="43">
        <f>ATAN((E85-E86)/(D85-D86))*180/PI()</f>
        <v>62.185777281689312</v>
      </c>
      <c r="R86" s="43"/>
      <c r="S86" s="223">
        <f t="shared" si="39"/>
        <v>493.92717508200377</v>
      </c>
      <c r="T86" s="224">
        <f t="shared" si="40"/>
        <v>-493.92717508200377</v>
      </c>
      <c r="U86" s="229">
        <f t="shared" si="41"/>
        <v>105.14146298067715</v>
      </c>
      <c r="V86" s="221"/>
      <c r="W86" s="218">
        <f t="shared" si="42"/>
        <v>441.3564435916652</v>
      </c>
      <c r="X86" s="221"/>
      <c r="Y86" s="202">
        <f t="shared" si="43"/>
        <v>441.3564435916652</v>
      </c>
      <c r="Z86" s="203">
        <f t="shared" si="44"/>
        <v>-441.3564435916652</v>
      </c>
      <c r="AA86" s="221"/>
      <c r="AB86" s="206">
        <f t="shared" si="45"/>
        <v>418.20765349521372</v>
      </c>
      <c r="AC86" s="207">
        <f t="shared" si="46"/>
        <v>-418.20765349521372</v>
      </c>
      <c r="AD86" s="221"/>
      <c r="AE86" s="208">
        <f t="shared" si="47"/>
        <v>390.22322623092805</v>
      </c>
      <c r="AF86" s="209">
        <f t="shared" si="48"/>
        <v>-390.22322623092805</v>
      </c>
      <c r="AG86" s="43">
        <f>IF(C83&gt;0,L86,"")</f>
        <v>55.980757325156446</v>
      </c>
      <c r="AH86" s="43">
        <f>AH85</f>
        <v>231.32413150301491</v>
      </c>
      <c r="AI86" s="43">
        <f>-AI85</f>
        <v>-906.41522996686899</v>
      </c>
    </row>
    <row r="87" spans="2:46" s="12" customFormat="1" ht="11.25" x14ac:dyDescent="0.2">
      <c r="B87" s="9"/>
      <c r="C87" s="9"/>
      <c r="D87" s="122"/>
      <c r="E87" s="123"/>
      <c r="F87" s="123"/>
      <c r="G87" s="124"/>
      <c r="H87" s="124"/>
      <c r="I87" s="128"/>
      <c r="J87" s="128"/>
      <c r="K87" s="125">
        <f>K86</f>
        <v>94.70098921430926</v>
      </c>
      <c r="L87" s="125">
        <f>L86</f>
        <v>55.980757325156446</v>
      </c>
      <c r="M87" s="187">
        <f>((D85-D86)^2+(E85-E86)^2)^0.5</f>
        <v>17.528038967758157</v>
      </c>
      <c r="N87" s="125">
        <f>((I85-I82)^2+(J85-J82)^2)^0.5</f>
        <v>5.5034756478490863</v>
      </c>
      <c r="O87" s="125">
        <f>O84+N87</f>
        <v>236.827607150864</v>
      </c>
      <c r="P87" s="156">
        <f>((D85-D86)^2+(E85-E86)^2)^0.5*Panels!$T$114</f>
        <v>1002.6038289557666</v>
      </c>
      <c r="S87" s="223">
        <f t="shared" si="39"/>
        <v>501.30191447788332</v>
      </c>
      <c r="T87" s="224">
        <f t="shared" si="40"/>
        <v>-501.30191447788332</v>
      </c>
      <c r="U87" s="229">
        <f t="shared" si="41"/>
        <v>104.93352805317636</v>
      </c>
      <c r="V87" s="221"/>
      <c r="W87" s="218">
        <f t="shared" si="42"/>
        <v>448.83515045129514</v>
      </c>
      <c r="X87" s="221"/>
      <c r="Y87" s="202">
        <f t="shared" si="43"/>
        <v>448.83515045129514</v>
      </c>
      <c r="Z87" s="203">
        <f t="shared" si="44"/>
        <v>-448.83515045129514</v>
      </c>
      <c r="AA87" s="221"/>
      <c r="AB87" s="206">
        <f t="shared" si="45"/>
        <v>426.84491904404712</v>
      </c>
      <c r="AC87" s="207">
        <f t="shared" si="46"/>
        <v>-426.84491904404712</v>
      </c>
      <c r="AD87" s="221"/>
      <c r="AE87" s="208">
        <f t="shared" si="47"/>
        <v>399.87013248138692</v>
      </c>
      <c r="AF87" s="209">
        <f t="shared" si="48"/>
        <v>-399.87013248138692</v>
      </c>
      <c r="AG87" s="43">
        <f>IF(C83&gt;0,L87,"")</f>
        <v>55.980757325156446</v>
      </c>
      <c r="AJ87" s="43">
        <f>AJ84+N87</f>
        <v>236.827607150864</v>
      </c>
    </row>
    <row r="88" spans="2:46" s="12" customFormat="1" ht="11.25" x14ac:dyDescent="0.2">
      <c r="B88" s="9"/>
      <c r="C88" s="9"/>
      <c r="D88" s="109">
        <f>D79</f>
        <v>90.611643312677913</v>
      </c>
      <c r="E88" s="110">
        <f>E79</f>
        <v>48.229287296147568</v>
      </c>
      <c r="F88" s="116"/>
      <c r="G88" s="110">
        <f>IF(Design!$H$19="x",D88,0)</f>
        <v>0</v>
      </c>
      <c r="H88" s="110">
        <f>IF(Design!$H$19="x",E88,0)</f>
        <v>0</v>
      </c>
      <c r="I88" s="110">
        <f>SUM(D88:D89)/2</f>
        <v>90.800280300977178</v>
      </c>
      <c r="J88" s="110">
        <f>SUM(E88:E89)/2</f>
        <v>56.166276994422589</v>
      </c>
      <c r="K88" s="110">
        <f>IF(Design!$H$18="x",I88,0)</f>
        <v>90.800280300977178</v>
      </c>
      <c r="L88" s="110">
        <f>IF(Design!$H$18="x",J88,0)</f>
        <v>56.166276994422589</v>
      </c>
      <c r="M88" s="120"/>
      <c r="N88" s="110">
        <f t="shared" ref="N88:P88" si="89">N87</f>
        <v>5.5034756478490863</v>
      </c>
      <c r="O88" s="110">
        <f t="shared" si="89"/>
        <v>236.827607150864</v>
      </c>
      <c r="P88" s="154">
        <f t="shared" si="89"/>
        <v>1002.6038289557666</v>
      </c>
      <c r="S88" s="223">
        <f t="shared" si="39"/>
        <v>501.30191447788332</v>
      </c>
      <c r="T88" s="224">
        <f t="shared" si="40"/>
        <v>-501.30191447788332</v>
      </c>
      <c r="U88" s="229">
        <f t="shared" si="41"/>
        <v>104.93352805317636</v>
      </c>
      <c r="V88" s="221"/>
      <c r="W88" s="218">
        <f t="shared" si="42"/>
        <v>448.83515045129514</v>
      </c>
      <c r="X88" s="221"/>
      <c r="Y88" s="202">
        <f t="shared" si="43"/>
        <v>448.83515045129514</v>
      </c>
      <c r="Z88" s="203">
        <f t="shared" si="44"/>
        <v>-448.83515045129514</v>
      </c>
      <c r="AA88" s="221"/>
      <c r="AB88" s="206">
        <f t="shared" si="45"/>
        <v>426.84491904404712</v>
      </c>
      <c r="AC88" s="207">
        <f t="shared" si="46"/>
        <v>-426.84491904404712</v>
      </c>
      <c r="AD88" s="221"/>
      <c r="AE88" s="208">
        <f t="shared" si="47"/>
        <v>399.87013248138692</v>
      </c>
      <c r="AF88" s="209">
        <f t="shared" si="48"/>
        <v>-399.87013248138692</v>
      </c>
      <c r="AG88" s="43">
        <f>IF(C86&gt;0,L88,"")</f>
        <v>56.166276994422589</v>
      </c>
      <c r="AH88" s="43">
        <f>O87</f>
        <v>236.827607150864</v>
      </c>
      <c r="AI88" s="43">
        <f>$R$165/2</f>
        <v>906.41522996686899</v>
      </c>
      <c r="AJ88" s="43"/>
      <c r="AM88" s="43">
        <f>Panels!C57</f>
        <v>42.984222563379923</v>
      </c>
      <c r="AN88" s="43">
        <f>Panels!D57</f>
        <v>66.386394013050818</v>
      </c>
      <c r="AO88" s="43">
        <f>Panels!C56</f>
        <v>106.59175294260481</v>
      </c>
      <c r="AP88" s="43">
        <f>Panels!D56</f>
        <v>63.361188015633054</v>
      </c>
      <c r="AQ88" s="107">
        <f>(AP88-AN88)/(AO88-AM88)</f>
        <v>-4.7560500767466339E-2</v>
      </c>
      <c r="AR88" s="107">
        <f>(AP88*AM88-AN88*AO88)/(AM88-AO88)</f>
        <v>68.430745163265385</v>
      </c>
    </row>
    <row r="89" spans="2:46" s="12" customFormat="1" ht="11.25" x14ac:dyDescent="0.2">
      <c r="B89" s="9">
        <f t="shared" si="2"/>
        <v>19</v>
      </c>
      <c r="C89" s="38">
        <f t="shared" ref="C89" si="90">C86+1</f>
        <v>24</v>
      </c>
      <c r="D89" s="112">
        <f>AS89</f>
        <v>90.988917289276444</v>
      </c>
      <c r="E89" s="113">
        <f>AT89</f>
        <v>64.103266692697616</v>
      </c>
      <c r="F89" s="116"/>
      <c r="G89" s="113">
        <f>IF(Design!$H$19="x",D89,0)</f>
        <v>0</v>
      </c>
      <c r="H89" s="113">
        <f>IF(Design!$H$19="x",E89,0)</f>
        <v>0</v>
      </c>
      <c r="I89" s="114"/>
      <c r="J89" s="114"/>
      <c r="K89" s="113">
        <f>K88</f>
        <v>90.800280300977178</v>
      </c>
      <c r="L89" s="113">
        <f>L88</f>
        <v>56.166276994422589</v>
      </c>
      <c r="M89" s="118"/>
      <c r="N89" s="113">
        <f t="shared" ref="N89:P89" si="91">N88</f>
        <v>5.5034756478490863</v>
      </c>
      <c r="O89" s="113">
        <f t="shared" si="91"/>
        <v>236.827607150864</v>
      </c>
      <c r="P89" s="155">
        <f t="shared" si="91"/>
        <v>1002.6038289557666</v>
      </c>
      <c r="Q89" s="43">
        <f>ATAN((E88-E89)/(D88-D89))*180/PI()</f>
        <v>88.63851795678039</v>
      </c>
      <c r="R89" s="43"/>
      <c r="S89" s="223">
        <f t="shared" si="39"/>
        <v>501.30191447788332</v>
      </c>
      <c r="T89" s="224">
        <f t="shared" si="40"/>
        <v>-501.30191447788332</v>
      </c>
      <c r="U89" s="229">
        <f t="shared" si="41"/>
        <v>104.93352805317636</v>
      </c>
      <c r="V89" s="221"/>
      <c r="W89" s="218">
        <f t="shared" si="42"/>
        <v>448.83515045129514</v>
      </c>
      <c r="X89" s="221"/>
      <c r="Y89" s="202">
        <f t="shared" si="43"/>
        <v>448.83515045129514</v>
      </c>
      <c r="Z89" s="203">
        <f t="shared" si="44"/>
        <v>-448.83515045129514</v>
      </c>
      <c r="AA89" s="221"/>
      <c r="AB89" s="206">
        <f t="shared" si="45"/>
        <v>426.84491904404712</v>
      </c>
      <c r="AC89" s="207">
        <f t="shared" si="46"/>
        <v>-426.84491904404712</v>
      </c>
      <c r="AD89" s="221"/>
      <c r="AE89" s="208">
        <f t="shared" si="47"/>
        <v>399.87013248138692</v>
      </c>
      <c r="AF89" s="209">
        <f t="shared" si="48"/>
        <v>-399.87013248138692</v>
      </c>
      <c r="AG89" s="43">
        <f>IF(C86&gt;0,L89,"")</f>
        <v>56.166276994422589</v>
      </c>
      <c r="AH89" s="43">
        <f>AH88</f>
        <v>236.827607150864</v>
      </c>
      <c r="AI89" s="43">
        <f>-AI88</f>
        <v>-906.41522996686899</v>
      </c>
      <c r="AM89" s="43">
        <f>D88</f>
        <v>90.611643312677913</v>
      </c>
      <c r="AN89" s="43">
        <f>E88</f>
        <v>48.229287296147568</v>
      </c>
      <c r="AO89" s="43">
        <f>AM89+10*O$3</f>
        <v>90.849244394611844</v>
      </c>
      <c r="AP89" s="43">
        <f>AN89+10*P$3</f>
        <v>58.226464183942632</v>
      </c>
      <c r="AQ89" s="107">
        <f>IF(AO89&lt;&gt;AM89,(AP89-AN89)/(AO89-AM89),"")</f>
        <v>42.075468707566458</v>
      </c>
      <c r="AR89" s="107">
        <f>IF(AQ89&lt;&gt;"",(AP89*AM89-AN89*AO89)/(AM89-AO89),AM89)</f>
        <v>-3764.2980754476062</v>
      </c>
      <c r="AS89" s="43">
        <f>IF(AQ89&lt;&gt;"",(AR88-AR89)/(AQ89-AQ88),AM89)</f>
        <v>90.988917289276444</v>
      </c>
      <c r="AT89" s="43">
        <f>IF(AQ89&lt;&gt;"",AS89*AQ89+AR89,AN88)</f>
        <v>64.103266692697616</v>
      </c>
    </row>
    <row r="90" spans="2:46" s="12" customFormat="1" ht="11.25" x14ac:dyDescent="0.2">
      <c r="B90" s="9"/>
      <c r="C90" s="9"/>
      <c r="D90" s="115"/>
      <c r="E90" s="116"/>
      <c r="F90" s="116"/>
      <c r="G90" s="117"/>
      <c r="H90" s="117"/>
      <c r="I90" s="114"/>
      <c r="J90" s="114"/>
      <c r="K90" s="113">
        <f>K89</f>
        <v>90.800280300977178</v>
      </c>
      <c r="L90" s="113">
        <f>L89</f>
        <v>56.166276994422589</v>
      </c>
      <c r="M90" s="187">
        <f>((D88-D89)^2+(E88-E89)^2)^0.5</f>
        <v>15.878462064555052</v>
      </c>
      <c r="N90" s="125">
        <f>((I88-I85)^2+(J88-J85)^2)^0.5</f>
        <v>3.9051181255159197</v>
      </c>
      <c r="O90" s="125">
        <f>O87+N90</f>
        <v>240.73272527637991</v>
      </c>
      <c r="P90" s="156">
        <f>((D88-D89)^2+(E88-E89)^2)^0.5*Panels!$T$114</f>
        <v>908.24803009254902</v>
      </c>
      <c r="S90" s="223">
        <f t="shared" si="39"/>
        <v>454.12401504627451</v>
      </c>
      <c r="T90" s="224">
        <f t="shared" si="40"/>
        <v>-454.12401504627451</v>
      </c>
      <c r="U90" s="229">
        <f t="shared" si="41"/>
        <v>-3.5648821217137083E-2</v>
      </c>
      <c r="V90" s="221"/>
      <c r="W90" s="218">
        <f t="shared" si="42"/>
        <v>454.14183945688308</v>
      </c>
      <c r="X90" s="221"/>
      <c r="Y90" s="202">
        <f t="shared" si="43"/>
        <v>454.14183945688308</v>
      </c>
      <c r="Z90" s="203">
        <f t="shared" si="44"/>
        <v>-454.14183945688308</v>
      </c>
      <c r="AA90" s="221"/>
      <c r="AB90" s="206">
        <f t="shared" si="45"/>
        <v>433.02723707557169</v>
      </c>
      <c r="AC90" s="207">
        <f t="shared" si="46"/>
        <v>-433.02723707557169</v>
      </c>
      <c r="AD90" s="221"/>
      <c r="AE90" s="208">
        <f t="shared" si="47"/>
        <v>406.85962372329897</v>
      </c>
      <c r="AF90" s="209">
        <f t="shared" si="48"/>
        <v>-406.85962372329897</v>
      </c>
      <c r="AG90" s="43">
        <f>IF(C86&gt;0,L90,"")</f>
        <v>56.166276994422589</v>
      </c>
      <c r="AJ90" s="43">
        <f>AJ87+N90</f>
        <v>240.73272527637991</v>
      </c>
    </row>
    <row r="91" spans="2:46" s="12" customFormat="1" ht="11.25" x14ac:dyDescent="0.2">
      <c r="B91" s="9"/>
      <c r="C91" s="9"/>
      <c r="D91" s="109">
        <f>AS52</f>
        <v>59.122758485041643</v>
      </c>
      <c r="E91" s="110">
        <f>AT52</f>
        <v>65.618837162962791</v>
      </c>
      <c r="F91" s="111"/>
      <c r="G91" s="110">
        <f>IF(Design!$H$19="x",D91,0)</f>
        <v>0</v>
      </c>
      <c r="H91" s="110">
        <f>IF(Design!$H$19="x",E91,0)</f>
        <v>0</v>
      </c>
      <c r="I91" s="110">
        <f>SUM(D91:D92)/2</f>
        <v>58.91611135310265</v>
      </c>
      <c r="J91" s="110">
        <f>SUM(E91:E92)/2</f>
        <v>56.924062229555176</v>
      </c>
      <c r="K91" s="110">
        <f>IF(Design!$H$18="x",I91,0)</f>
        <v>58.91611135310265</v>
      </c>
      <c r="L91" s="110">
        <f>IF(Design!$H$18="x",J91,0)</f>
        <v>56.924062229555176</v>
      </c>
      <c r="M91" s="120"/>
      <c r="N91" s="110">
        <f t="shared" ref="N91:P91" si="92">N90</f>
        <v>3.9051181255159197</v>
      </c>
      <c r="O91" s="110">
        <f t="shared" si="92"/>
        <v>240.73272527637991</v>
      </c>
      <c r="P91" s="154">
        <f t="shared" si="92"/>
        <v>908.24803009254902</v>
      </c>
      <c r="S91" s="223">
        <f t="shared" si="39"/>
        <v>454.12401504627451</v>
      </c>
      <c r="T91" s="224">
        <f t="shared" si="40"/>
        <v>-454.12401504627451</v>
      </c>
      <c r="U91" s="229">
        <f t="shared" si="41"/>
        <v>-3.5648821217137083E-2</v>
      </c>
      <c r="V91" s="221"/>
      <c r="W91" s="218">
        <f t="shared" si="42"/>
        <v>454.14183945688308</v>
      </c>
      <c r="X91" s="221"/>
      <c r="Y91" s="202">
        <f t="shared" si="43"/>
        <v>454.14183945688308</v>
      </c>
      <c r="Z91" s="203">
        <f t="shared" si="44"/>
        <v>-454.14183945688308</v>
      </c>
      <c r="AA91" s="221"/>
      <c r="AB91" s="206">
        <f t="shared" si="45"/>
        <v>433.02723707557169</v>
      </c>
      <c r="AC91" s="207">
        <f t="shared" si="46"/>
        <v>-433.02723707557169</v>
      </c>
      <c r="AD91" s="221"/>
      <c r="AE91" s="208">
        <f t="shared" si="47"/>
        <v>406.85962372329897</v>
      </c>
      <c r="AF91" s="209">
        <f t="shared" si="48"/>
        <v>-406.85962372329897</v>
      </c>
      <c r="AG91" s="43">
        <f>IF(C89&gt;0,L91,"")</f>
        <v>56.924062229555176</v>
      </c>
      <c r="AH91" s="43">
        <f>O90</f>
        <v>240.73272527637991</v>
      </c>
      <c r="AI91" s="43">
        <f>$R$165/2</f>
        <v>906.41522996686899</v>
      </c>
      <c r="AJ91" s="43"/>
    </row>
    <row r="92" spans="2:46" s="12" customFormat="1" ht="11.25" x14ac:dyDescent="0.2">
      <c r="B92" s="9">
        <f t="shared" ref="B92" si="93">B116+1</f>
        <v>18</v>
      </c>
      <c r="C92" s="38">
        <f t="shared" ref="C92" si="94">C89+1</f>
        <v>25</v>
      </c>
      <c r="D92" s="112">
        <f>Panels!C62</f>
        <v>58.709464221163657</v>
      </c>
      <c r="E92" s="113">
        <f>Panels!D62</f>
        <v>48.229287296147568</v>
      </c>
      <c r="F92" s="114"/>
      <c r="G92" s="113">
        <f>IF(Design!$H$19="x",D92,0)</f>
        <v>0</v>
      </c>
      <c r="H92" s="113">
        <f>IF(Design!$H$19="x",E92,0)</f>
        <v>0</v>
      </c>
      <c r="I92" s="114"/>
      <c r="J92" s="114"/>
      <c r="K92" s="113">
        <f>K91</f>
        <v>58.91611135310265</v>
      </c>
      <c r="L92" s="113">
        <f>L91</f>
        <v>56.924062229555176</v>
      </c>
      <c r="M92" s="118"/>
      <c r="N92" s="113">
        <f t="shared" ref="N92:P92" si="95">N91</f>
        <v>3.9051181255159197</v>
      </c>
      <c r="O92" s="113">
        <f t="shared" si="95"/>
        <v>240.73272527637991</v>
      </c>
      <c r="P92" s="155">
        <f t="shared" si="95"/>
        <v>908.24803009254902</v>
      </c>
      <c r="Q92" s="43">
        <f>ATAN((E91-E92)/(D91-D92))*180/PI()</f>
        <v>88.638517956780476</v>
      </c>
      <c r="R92" s="43"/>
      <c r="S92" s="223">
        <f t="shared" si="39"/>
        <v>454.12401504627451</v>
      </c>
      <c r="T92" s="224">
        <f t="shared" si="40"/>
        <v>-454.12401504627451</v>
      </c>
      <c r="U92" s="229">
        <f t="shared" si="41"/>
        <v>-3.5648821217137083E-2</v>
      </c>
      <c r="V92" s="221"/>
      <c r="W92" s="218">
        <f t="shared" si="42"/>
        <v>454.14183945688308</v>
      </c>
      <c r="X92" s="221"/>
      <c r="Y92" s="202">
        <f t="shared" si="43"/>
        <v>454.14183945688308</v>
      </c>
      <c r="Z92" s="203">
        <f t="shared" si="44"/>
        <v>-454.14183945688308</v>
      </c>
      <c r="AA92" s="221"/>
      <c r="AB92" s="206">
        <f t="shared" si="45"/>
        <v>433.02723707557169</v>
      </c>
      <c r="AC92" s="207">
        <f t="shared" si="46"/>
        <v>-433.02723707557169</v>
      </c>
      <c r="AD92" s="221"/>
      <c r="AE92" s="208">
        <f t="shared" si="47"/>
        <v>406.85962372329897</v>
      </c>
      <c r="AF92" s="209">
        <f t="shared" si="48"/>
        <v>-406.85962372329897</v>
      </c>
      <c r="AG92" s="43">
        <f>IF(C89&gt;0,L92,"")</f>
        <v>56.924062229555176</v>
      </c>
      <c r="AH92" s="43">
        <f>AH91</f>
        <v>240.73272527637991</v>
      </c>
      <c r="AI92" s="43">
        <f>-AI91</f>
        <v>-906.41522996686899</v>
      </c>
      <c r="AL92" s="9"/>
      <c r="AM92" s="43"/>
      <c r="AN92" s="43"/>
      <c r="AO92" s="43"/>
      <c r="AP92" s="43"/>
      <c r="AQ92" s="107"/>
      <c r="AR92" s="107"/>
      <c r="AS92" s="43"/>
      <c r="AT92" s="43"/>
    </row>
    <row r="93" spans="2:46" s="12" customFormat="1" ht="11.25" x14ac:dyDescent="0.2">
      <c r="B93" s="9"/>
      <c r="C93" s="9"/>
      <c r="D93" s="127"/>
      <c r="E93" s="128"/>
      <c r="F93" s="128"/>
      <c r="G93" s="128"/>
      <c r="H93" s="128"/>
      <c r="I93" s="128"/>
      <c r="J93" s="128"/>
      <c r="K93" s="125">
        <f>K92</f>
        <v>58.91611135310265</v>
      </c>
      <c r="L93" s="125">
        <f>L92</f>
        <v>56.924062229555176</v>
      </c>
      <c r="M93" s="187">
        <f>((D91-D92)^2+(E91-E92)^2)^0.5</f>
        <v>17.394460518193942</v>
      </c>
      <c r="N93" s="125">
        <f>((I91-I88)^2+(J91-J88)^2)^0.5</f>
        <v>31.893172748398541</v>
      </c>
      <c r="O93" s="125">
        <f>O90+N93</f>
        <v>272.62589802477845</v>
      </c>
      <c r="P93" s="156">
        <f>((D91-D92)^2+(E91-E92)^2)^0.5*Panels!$T$114</f>
        <v>994.96314164069349</v>
      </c>
      <c r="S93" s="223">
        <f t="shared" si="39"/>
        <v>497.48157082034675</v>
      </c>
      <c r="T93" s="224">
        <f t="shared" si="40"/>
        <v>-497.48157082034675</v>
      </c>
      <c r="U93" s="229">
        <f t="shared" si="41"/>
        <v>-1.9393768752706819E-4</v>
      </c>
      <c r="V93" s="221"/>
      <c r="W93" s="218">
        <f t="shared" si="42"/>
        <v>497.48166778919051</v>
      </c>
      <c r="X93" s="221"/>
      <c r="Y93" s="202">
        <f t="shared" si="43"/>
        <v>497.48166778919051</v>
      </c>
      <c r="Z93" s="203">
        <f t="shared" si="44"/>
        <v>-497.48166778919051</v>
      </c>
      <c r="AA93" s="221"/>
      <c r="AB93" s="206">
        <f t="shared" si="45"/>
        <v>485.18227798373852</v>
      </c>
      <c r="AC93" s="207">
        <f t="shared" si="46"/>
        <v>-485.18227798373852</v>
      </c>
      <c r="AD93" s="221"/>
      <c r="AE93" s="208">
        <f t="shared" si="47"/>
        <v>468.71248923771191</v>
      </c>
      <c r="AF93" s="209">
        <f t="shared" si="48"/>
        <v>-468.71248923771191</v>
      </c>
      <c r="AG93" s="43">
        <f>IF(C89&gt;0,L93,"")</f>
        <v>56.924062229555176</v>
      </c>
      <c r="AJ93" s="43">
        <f>AJ90+N93</f>
        <v>272.62589802477845</v>
      </c>
    </row>
    <row r="94" spans="2:46" s="12" customFormat="1" ht="11.25" x14ac:dyDescent="0.2">
      <c r="B94" s="9"/>
      <c r="C94" s="9"/>
      <c r="D94" s="112">
        <f>(D91+Panels!C57)/2</f>
        <v>51.053490524210787</v>
      </c>
      <c r="E94" s="112">
        <f>(E91+Panels!D57)/2</f>
        <v>66.002615588006805</v>
      </c>
      <c r="F94" s="114"/>
      <c r="G94" s="110">
        <f>IF(Design!$H$19="x",D94,0)</f>
        <v>0</v>
      </c>
      <c r="H94" s="110">
        <f>IF(Design!$H$19="x",E94,0)</f>
        <v>0</v>
      </c>
      <c r="I94" s="113">
        <f>SUM(D94:D95)/2</f>
        <v>54.881477372687222</v>
      </c>
      <c r="J94" s="113">
        <f>SUM(E94:E95)/2</f>
        <v>57.11595144207719</v>
      </c>
      <c r="K94" s="110">
        <f>IF(Design!$H$18="x",I94,0)</f>
        <v>54.881477372687222</v>
      </c>
      <c r="L94" s="110">
        <f>IF(Design!$H$18="x",J94,0)</f>
        <v>57.11595144207719</v>
      </c>
      <c r="M94" s="120"/>
      <c r="N94" s="110">
        <f t="shared" ref="N94:P94" si="96">N93</f>
        <v>31.893172748398541</v>
      </c>
      <c r="O94" s="110">
        <f t="shared" si="96"/>
        <v>272.62589802477845</v>
      </c>
      <c r="P94" s="154">
        <f t="shared" si="96"/>
        <v>994.96314164069349</v>
      </c>
      <c r="S94" s="223">
        <f t="shared" si="39"/>
        <v>497.48157082034675</v>
      </c>
      <c r="T94" s="224">
        <f t="shared" si="40"/>
        <v>-497.48157082034675</v>
      </c>
      <c r="U94" s="229">
        <f t="shared" si="41"/>
        <v>-1.9393768752706819E-4</v>
      </c>
      <c r="V94" s="221"/>
      <c r="W94" s="218">
        <f t="shared" si="42"/>
        <v>497.48166778919051</v>
      </c>
      <c r="X94" s="221"/>
      <c r="Y94" s="202">
        <f t="shared" si="43"/>
        <v>497.48166778919051</v>
      </c>
      <c r="Z94" s="203">
        <f t="shared" si="44"/>
        <v>-497.48166778919051</v>
      </c>
      <c r="AA94" s="221"/>
      <c r="AB94" s="206">
        <f t="shared" si="45"/>
        <v>485.18227798373852</v>
      </c>
      <c r="AC94" s="207">
        <f t="shared" si="46"/>
        <v>-485.18227798373852</v>
      </c>
      <c r="AD94" s="221"/>
      <c r="AE94" s="208">
        <f t="shared" si="47"/>
        <v>468.71248923771191</v>
      </c>
      <c r="AF94" s="209">
        <f t="shared" si="48"/>
        <v>-468.71248923771191</v>
      </c>
      <c r="AG94" s="43">
        <f>IF(C92&gt;0,L94,"")</f>
        <v>57.11595144207719</v>
      </c>
      <c r="AH94" s="43">
        <f>O93</f>
        <v>272.62589802477845</v>
      </c>
      <c r="AI94" s="43">
        <f>$R$165/2</f>
        <v>906.41522996686899</v>
      </c>
      <c r="AJ94" s="43"/>
    </row>
    <row r="95" spans="2:46" s="12" customFormat="1" ht="11.25" x14ac:dyDescent="0.2">
      <c r="B95" s="9">
        <f t="shared" si="2"/>
        <v>24</v>
      </c>
      <c r="C95" s="38">
        <f>C92+1</f>
        <v>26</v>
      </c>
      <c r="D95" s="112">
        <f>Panels!C62</f>
        <v>58.709464221163657</v>
      </c>
      <c r="E95" s="113">
        <f>E92</f>
        <v>48.229287296147568</v>
      </c>
      <c r="F95" s="114"/>
      <c r="G95" s="113">
        <f>IF(Design!$H$19="x",D95,0)</f>
        <v>0</v>
      </c>
      <c r="H95" s="113">
        <f>IF(Design!$H$19="x",E95,0)</f>
        <v>0</v>
      </c>
      <c r="I95" s="116"/>
      <c r="J95" s="117"/>
      <c r="K95" s="113">
        <f>K94</f>
        <v>54.881477372687222</v>
      </c>
      <c r="L95" s="113">
        <f>L94</f>
        <v>57.11595144207719</v>
      </c>
      <c r="M95" s="118"/>
      <c r="N95" s="113">
        <f t="shared" ref="N95:P95" si="97">N94</f>
        <v>31.893172748398541</v>
      </c>
      <c r="O95" s="113">
        <f t="shared" si="97"/>
        <v>272.62589802477845</v>
      </c>
      <c r="P95" s="155">
        <f t="shared" si="97"/>
        <v>994.96314164069349</v>
      </c>
      <c r="Q95" s="43">
        <f>ATAN((E94-E95)/(D94-D95))*180/PI()</f>
        <v>-66.695732849609243</v>
      </c>
      <c r="R95" s="43"/>
      <c r="S95" s="223">
        <f t="shared" si="39"/>
        <v>497.48157082034675</v>
      </c>
      <c r="T95" s="224">
        <f t="shared" si="40"/>
        <v>-497.48157082034675</v>
      </c>
      <c r="U95" s="229">
        <f t="shared" si="41"/>
        <v>-1.9393768752706819E-4</v>
      </c>
      <c r="V95" s="221"/>
      <c r="W95" s="218">
        <f t="shared" si="42"/>
        <v>497.48166778919051</v>
      </c>
      <c r="X95" s="221"/>
      <c r="Y95" s="202">
        <f t="shared" si="43"/>
        <v>497.48166778919051</v>
      </c>
      <c r="Z95" s="203">
        <f t="shared" si="44"/>
        <v>-497.48166778919051</v>
      </c>
      <c r="AA95" s="221"/>
      <c r="AB95" s="206">
        <f t="shared" si="45"/>
        <v>485.18227798373852</v>
      </c>
      <c r="AC95" s="207">
        <f t="shared" si="46"/>
        <v>-485.18227798373852</v>
      </c>
      <c r="AD95" s="221"/>
      <c r="AE95" s="208">
        <f t="shared" si="47"/>
        <v>468.71248923771191</v>
      </c>
      <c r="AF95" s="209">
        <f t="shared" si="48"/>
        <v>-468.71248923771191</v>
      </c>
      <c r="AG95" s="43">
        <f>IF(C92&gt;0,L95,"")</f>
        <v>57.11595144207719</v>
      </c>
      <c r="AH95" s="43">
        <f>AH94</f>
        <v>272.62589802477845</v>
      </c>
      <c r="AI95" s="43">
        <f>-AI94</f>
        <v>-906.41522996686899</v>
      </c>
    </row>
    <row r="96" spans="2:46" s="12" customFormat="1" ht="11.25" x14ac:dyDescent="0.2">
      <c r="B96" s="9"/>
      <c r="C96" s="9"/>
      <c r="D96" s="122"/>
      <c r="E96" s="123"/>
      <c r="F96" s="123"/>
      <c r="G96" s="124"/>
      <c r="H96" s="124"/>
      <c r="I96" s="123"/>
      <c r="J96" s="124"/>
      <c r="K96" s="125">
        <f>K95</f>
        <v>54.881477372687222</v>
      </c>
      <c r="L96" s="125">
        <f>L95</f>
        <v>57.11595144207719</v>
      </c>
      <c r="M96" s="187">
        <f>((D94-D95)^2+(E94-E95)^2)^0.5</f>
        <v>19.352135071320635</v>
      </c>
      <c r="N96" s="125">
        <f>((I94-I91)^2+(J94-J91)^2)^0.5</f>
        <v>4.0391945763735082</v>
      </c>
      <c r="O96" s="125">
        <f>O93+N96</f>
        <v>276.66509260115197</v>
      </c>
      <c r="P96" s="156">
        <f>((D94-D95)^2+(E94-E95)^2)^0.5*Panels!$T$114</f>
        <v>1106.9421260795405</v>
      </c>
      <c r="S96" s="223">
        <f t="shared" si="39"/>
        <v>553.47106303977023</v>
      </c>
      <c r="T96" s="224">
        <f t="shared" si="40"/>
        <v>-553.47106303977023</v>
      </c>
      <c r="U96" s="229">
        <f t="shared" si="41"/>
        <v>101.00101786487585</v>
      </c>
      <c r="V96" s="221"/>
      <c r="W96" s="218">
        <f t="shared" si="42"/>
        <v>502.9705541073323</v>
      </c>
      <c r="X96" s="221"/>
      <c r="Y96" s="202">
        <f t="shared" si="43"/>
        <v>502.9705541073323</v>
      </c>
      <c r="Z96" s="203">
        <f t="shared" si="44"/>
        <v>-502.9705541073323</v>
      </c>
      <c r="AA96" s="221"/>
      <c r="AB96" s="206">
        <f t="shared" si="45"/>
        <v>491.99911258519904</v>
      </c>
      <c r="AC96" s="207">
        <f t="shared" si="46"/>
        <v>-491.99911258519904</v>
      </c>
      <c r="AD96" s="221"/>
      <c r="AE96" s="208">
        <f t="shared" si="47"/>
        <v>477.1891205405841</v>
      </c>
      <c r="AF96" s="209">
        <f t="shared" si="48"/>
        <v>-477.1891205405841</v>
      </c>
      <c r="AG96" s="43">
        <f>IF(C92&gt;0,L96,"")</f>
        <v>57.11595144207719</v>
      </c>
      <c r="AJ96" s="43">
        <f>AJ93+N96</f>
        <v>276.66509260115197</v>
      </c>
    </row>
    <row r="97" spans="2:46" s="12" customFormat="1" ht="11.25" x14ac:dyDescent="0.2">
      <c r="B97" s="9"/>
      <c r="C97" s="9"/>
      <c r="D97" s="196">
        <f>(AS98+D100)/2</f>
        <v>41.762607298459031</v>
      </c>
      <c r="E97" s="196">
        <f>(AT98+E100)/2</f>
        <v>57.891488036441373</v>
      </c>
      <c r="F97" s="116"/>
      <c r="G97" s="110">
        <f>IF(Design!$H$19="x",D97,0)</f>
        <v>0</v>
      </c>
      <c r="H97" s="110">
        <f>IF(Design!$H$19="x",E97,0)</f>
        <v>0</v>
      </c>
      <c r="I97" s="113">
        <f>SUM(D97:D98)/2</f>
        <v>50.236035759811344</v>
      </c>
      <c r="J97" s="113">
        <f>SUM(E97:E98)/2</f>
        <v>53.060387666294474</v>
      </c>
      <c r="K97" s="110">
        <f>IF(Design!$H$18="x",I97,0)</f>
        <v>50.236035759811344</v>
      </c>
      <c r="L97" s="110">
        <f>IF(Design!$H$18="x",J97,0)</f>
        <v>53.060387666294474</v>
      </c>
      <c r="M97" s="120"/>
      <c r="N97" s="110">
        <f t="shared" ref="N97:P97" si="98">N96</f>
        <v>4.0391945763735082</v>
      </c>
      <c r="O97" s="110">
        <f t="shared" si="98"/>
        <v>276.66509260115197</v>
      </c>
      <c r="P97" s="154">
        <f t="shared" si="98"/>
        <v>1106.9421260795405</v>
      </c>
      <c r="S97" s="223">
        <f t="shared" si="39"/>
        <v>553.47106303977023</v>
      </c>
      <c r="T97" s="224">
        <f t="shared" si="40"/>
        <v>-553.47106303977023</v>
      </c>
      <c r="U97" s="229">
        <f t="shared" si="41"/>
        <v>101.00101786487585</v>
      </c>
      <c r="V97" s="221"/>
      <c r="W97" s="218">
        <f t="shared" si="42"/>
        <v>502.9705541073323</v>
      </c>
      <c r="X97" s="221"/>
      <c r="Y97" s="202">
        <f t="shared" si="43"/>
        <v>502.9705541073323</v>
      </c>
      <c r="Z97" s="203">
        <f t="shared" si="44"/>
        <v>-502.9705541073323</v>
      </c>
      <c r="AA97" s="221"/>
      <c r="AB97" s="206">
        <f t="shared" si="45"/>
        <v>491.99911258519904</v>
      </c>
      <c r="AC97" s="207">
        <f t="shared" si="46"/>
        <v>-491.99911258519904</v>
      </c>
      <c r="AD97" s="221"/>
      <c r="AE97" s="208">
        <f t="shared" si="47"/>
        <v>477.1891205405841</v>
      </c>
      <c r="AF97" s="209">
        <f t="shared" si="48"/>
        <v>-477.1891205405841</v>
      </c>
      <c r="AG97" s="43">
        <f>IF(C95&gt;0,L97,"")</f>
        <v>53.060387666294474</v>
      </c>
      <c r="AH97" s="43">
        <f>O96</f>
        <v>276.66509260115197</v>
      </c>
      <c r="AI97" s="43">
        <f>$R$165/2</f>
        <v>906.41522996686899</v>
      </c>
      <c r="AJ97" s="43"/>
      <c r="AL97" s="9" t="s">
        <v>32</v>
      </c>
      <c r="AM97" s="43">
        <f>Panels!C56</f>
        <v>106.59175294260481</v>
      </c>
      <c r="AN97" s="43">
        <f>Panels!D56</f>
        <v>63.361188015633054</v>
      </c>
      <c r="AO97" s="43">
        <f>Panels!C57</f>
        <v>42.984222563379923</v>
      </c>
      <c r="AP97" s="43">
        <f>Panels!D57</f>
        <v>66.386394013050818</v>
      </c>
      <c r="AQ97" s="107">
        <f>(AP97-AN97)/(AO97-AM97)</f>
        <v>-4.7560500767466339E-2</v>
      </c>
      <c r="AR97" s="107">
        <f>(AP97*AM97-AN97*AO97)/(AM97-AO97)</f>
        <v>68.430745163265385</v>
      </c>
    </row>
    <row r="98" spans="2:46" s="12" customFormat="1" ht="11.25" x14ac:dyDescent="0.2">
      <c r="B98" s="9">
        <f t="shared" si="2"/>
        <v>23</v>
      </c>
      <c r="C98" s="38">
        <f>C95+1</f>
        <v>27</v>
      </c>
      <c r="D98" s="196">
        <f>D101</f>
        <v>58.709464221163657</v>
      </c>
      <c r="E98" s="197">
        <f>E101</f>
        <v>48.229287296147568</v>
      </c>
      <c r="F98" s="116"/>
      <c r="G98" s="113">
        <f>IF(Design!$H$19="x",D98,0)</f>
        <v>0</v>
      </c>
      <c r="H98" s="113">
        <f>IF(Design!$H$19="x",E98,0)</f>
        <v>0</v>
      </c>
      <c r="I98" s="116"/>
      <c r="J98" s="117"/>
      <c r="K98" s="113">
        <f>K97</f>
        <v>50.236035759811344</v>
      </c>
      <c r="L98" s="113">
        <f>L97</f>
        <v>53.060387666294474</v>
      </c>
      <c r="M98" s="118"/>
      <c r="N98" s="113">
        <f t="shared" ref="N98:P98" si="99">N97</f>
        <v>4.0391945763735082</v>
      </c>
      <c r="O98" s="113">
        <f t="shared" si="99"/>
        <v>276.66509260115197</v>
      </c>
      <c r="P98" s="155">
        <f t="shared" si="99"/>
        <v>1106.9421260795405</v>
      </c>
      <c r="Q98" s="43">
        <f>ATAN((E97-E98)/(D97-D98))*180/PI()</f>
        <v>-29.6894996681722</v>
      </c>
      <c r="R98" s="43"/>
      <c r="S98" s="223">
        <f t="shared" si="39"/>
        <v>553.47106303977023</v>
      </c>
      <c r="T98" s="224">
        <f t="shared" si="40"/>
        <v>-553.47106303977023</v>
      </c>
      <c r="U98" s="229">
        <f t="shared" si="41"/>
        <v>101.00101786487585</v>
      </c>
      <c r="V98" s="221"/>
      <c r="W98" s="218">
        <f t="shared" si="42"/>
        <v>502.9705541073323</v>
      </c>
      <c r="X98" s="221"/>
      <c r="Y98" s="202">
        <f t="shared" si="43"/>
        <v>502.9705541073323</v>
      </c>
      <c r="Z98" s="203">
        <f t="shared" si="44"/>
        <v>-502.9705541073323</v>
      </c>
      <c r="AA98" s="221"/>
      <c r="AB98" s="206">
        <f t="shared" si="45"/>
        <v>491.99911258519904</v>
      </c>
      <c r="AC98" s="207">
        <f t="shared" si="46"/>
        <v>-491.99911258519904</v>
      </c>
      <c r="AD98" s="221"/>
      <c r="AE98" s="208">
        <f t="shared" si="47"/>
        <v>477.1891205405841</v>
      </c>
      <c r="AF98" s="209">
        <f t="shared" si="48"/>
        <v>-477.1891205405841</v>
      </c>
      <c r="AG98" s="43">
        <f>IF(C95&gt;0,L98,"")</f>
        <v>53.060387666294474</v>
      </c>
      <c r="AH98" s="43">
        <f>AH97</f>
        <v>276.66509260115197</v>
      </c>
      <c r="AI98" s="43">
        <f>-AI97</f>
        <v>-906.41522996686899</v>
      </c>
      <c r="AL98" s="9" t="s">
        <v>132</v>
      </c>
      <c r="AM98" s="43">
        <f>AM101</f>
        <v>38.029786001071884</v>
      </c>
      <c r="AN98" s="43">
        <f>AN101</f>
        <v>29.012946596280582</v>
      </c>
      <c r="AO98" s="43">
        <f>AO101</f>
        <v>43.074485485083265</v>
      </c>
      <c r="AP98" s="43">
        <f>AP101</f>
        <v>68.040682321040364</v>
      </c>
      <c r="AQ98" s="107">
        <f>IF(AO98&lt;&gt;AM98,(AP98-AN98)/(AO98-AM98),"")</f>
        <v>7.7363846644292451</v>
      </c>
      <c r="AR98" s="107">
        <f>IF(AQ98&lt;&gt;"",(AP98*AM98-AN98*AO98)/(AM98-AO98),AM98)</f>
        <v>-265.20010661393798</v>
      </c>
      <c r="AS98" s="43">
        <f>IF(AQ98&lt;&gt;"",(AR97-AR98)/(AQ98-AQ97),AM98)</f>
        <v>42.861408282900207</v>
      </c>
      <c r="AT98" s="43">
        <f>AS98*AQ97+AR97</f>
        <v>66.392235121731815</v>
      </c>
    </row>
    <row r="99" spans="2:46" s="12" customFormat="1" ht="11.25" x14ac:dyDescent="0.2">
      <c r="B99" s="9"/>
      <c r="C99" s="9"/>
      <c r="D99" s="196"/>
      <c r="E99" s="197"/>
      <c r="F99" s="116"/>
      <c r="G99" s="124"/>
      <c r="H99" s="124"/>
      <c r="I99" s="123"/>
      <c r="J99" s="124"/>
      <c r="K99" s="125">
        <f>K98</f>
        <v>50.236035759811344</v>
      </c>
      <c r="L99" s="125">
        <f>L98</f>
        <v>53.060387666294474</v>
      </c>
      <c r="M99" s="187">
        <f>((D97-D98)^2+(E97-E98)^2)^0.5</f>
        <v>19.50779543424515</v>
      </c>
      <c r="N99" s="125">
        <f>((I97-I94)^2+(J97-J94)^2)^0.5</f>
        <v>6.1666624131761738</v>
      </c>
      <c r="O99" s="125">
        <f>O96+N99</f>
        <v>282.83175501432817</v>
      </c>
      <c r="P99" s="156">
        <f>((D97-D98)^2+(E97-E98)^2)^0.5*Panels!$T$114</f>
        <v>1115.8458988388227</v>
      </c>
      <c r="S99" s="223">
        <f t="shared" si="39"/>
        <v>557.92294941941134</v>
      </c>
      <c r="T99" s="224">
        <f t="shared" si="40"/>
        <v>-557.92294941941134</v>
      </c>
      <c r="U99" s="229">
        <f t="shared" si="41"/>
        <v>93.14495976764556</v>
      </c>
      <c r="V99" s="221"/>
      <c r="W99" s="218">
        <f t="shared" si="42"/>
        <v>511.35046953558856</v>
      </c>
      <c r="X99" s="221"/>
      <c r="Y99" s="202">
        <f t="shared" si="43"/>
        <v>511.35046953558856</v>
      </c>
      <c r="Z99" s="203">
        <f t="shared" si="44"/>
        <v>-511.35046953558856</v>
      </c>
      <c r="AA99" s="221"/>
      <c r="AB99" s="206">
        <f t="shared" si="45"/>
        <v>502.49813703048397</v>
      </c>
      <c r="AC99" s="207">
        <f t="shared" si="46"/>
        <v>-502.49813703048397</v>
      </c>
      <c r="AD99" s="221"/>
      <c r="AE99" s="208">
        <f t="shared" si="47"/>
        <v>490.42705964207852</v>
      </c>
      <c r="AF99" s="209">
        <f t="shared" si="48"/>
        <v>-490.42705964207852</v>
      </c>
      <c r="AG99" s="43">
        <f>IF(C95&gt;0,L99,"")</f>
        <v>53.060387666294474</v>
      </c>
      <c r="AJ99" s="43">
        <f>AJ96+N99</f>
        <v>282.83175501432817</v>
      </c>
    </row>
    <row r="100" spans="2:46" s="12" customFormat="1" ht="11.25" x14ac:dyDescent="0.2">
      <c r="B100" s="9"/>
      <c r="C100" s="9"/>
      <c r="D100" s="109">
        <f>AS101</f>
        <v>40.663806314017862</v>
      </c>
      <c r="E100" s="109">
        <f>AT101</f>
        <v>49.390740951150931</v>
      </c>
      <c r="F100" s="111"/>
      <c r="G100" s="110">
        <f>IF(Design!$H$19="x",D100,0)</f>
        <v>0</v>
      </c>
      <c r="H100" s="110">
        <f>IF(Design!$H$19="x",E100,0)</f>
        <v>0</v>
      </c>
      <c r="I100" s="110">
        <f>SUM(D100:D101)/2</f>
        <v>49.686635267590759</v>
      </c>
      <c r="J100" s="110">
        <f>SUM(E100:E101)/2</f>
        <v>48.810014123649253</v>
      </c>
      <c r="K100" s="110">
        <f>IF(Design!$H$18="x",I100,0)</f>
        <v>49.686635267590759</v>
      </c>
      <c r="L100" s="110">
        <f>IF(Design!$H$18="x",J100,0)</f>
        <v>48.810014123649253</v>
      </c>
      <c r="M100" s="120"/>
      <c r="N100" s="110">
        <f t="shared" ref="N100:P100" si="100">N99</f>
        <v>6.1666624131761738</v>
      </c>
      <c r="O100" s="110">
        <f t="shared" si="100"/>
        <v>282.83175501432817</v>
      </c>
      <c r="P100" s="154">
        <f t="shared" si="100"/>
        <v>1115.8458988388227</v>
      </c>
      <c r="S100" s="223">
        <f t="shared" si="39"/>
        <v>557.92294941941134</v>
      </c>
      <c r="T100" s="224">
        <f t="shared" si="40"/>
        <v>-557.92294941941134</v>
      </c>
      <c r="U100" s="229">
        <f t="shared" si="41"/>
        <v>93.14495976764556</v>
      </c>
      <c r="V100" s="221"/>
      <c r="W100" s="218">
        <f t="shared" si="42"/>
        <v>511.35046953558856</v>
      </c>
      <c r="X100" s="221"/>
      <c r="Y100" s="202">
        <f t="shared" si="43"/>
        <v>511.35046953558856</v>
      </c>
      <c r="Z100" s="203">
        <f t="shared" si="44"/>
        <v>-511.35046953558856</v>
      </c>
      <c r="AA100" s="221"/>
      <c r="AB100" s="206">
        <f t="shared" si="45"/>
        <v>502.49813703048397</v>
      </c>
      <c r="AC100" s="207">
        <f t="shared" si="46"/>
        <v>-502.49813703048397</v>
      </c>
      <c r="AD100" s="221"/>
      <c r="AE100" s="208">
        <f t="shared" si="47"/>
        <v>490.42705964207852</v>
      </c>
      <c r="AF100" s="209">
        <f t="shared" si="48"/>
        <v>-490.42705964207852</v>
      </c>
      <c r="AG100" s="43">
        <f>IF(C98&gt;0,L100,"")</f>
        <v>48.810014123649253</v>
      </c>
      <c r="AH100" s="43">
        <f>O99</f>
        <v>282.83175501432817</v>
      </c>
      <c r="AI100" s="43">
        <f>$R$165/2</f>
        <v>906.41522996686899</v>
      </c>
      <c r="AJ100" s="43"/>
      <c r="AL100" s="9" t="s">
        <v>33</v>
      </c>
      <c r="AM100" s="43">
        <f>Panels!C62</f>
        <v>58.709464221163657</v>
      </c>
      <c r="AN100" s="43">
        <f>Panels!D62</f>
        <v>48.229287296147568</v>
      </c>
      <c r="AO100" s="43">
        <f>AM100-100*Panels!X8</f>
        <v>-41.084054061591559</v>
      </c>
      <c r="AP100" s="43">
        <f>AN100+100*Panels!Y8</f>
        <v>54.652192304739962</v>
      </c>
      <c r="AQ100" s="107">
        <f>(AP100-AN100)/(AO100-AM100)</f>
        <v>-6.4361945736733303E-2</v>
      </c>
      <c r="AR100" s="107">
        <f>(AP100*AM100-AN100*AO100)/(AM100-AO100)</f>
        <v>52.007942646582784</v>
      </c>
    </row>
    <row r="101" spans="2:46" s="12" customFormat="1" ht="11.25" x14ac:dyDescent="0.2">
      <c r="B101" s="9">
        <f t="shared" si="2"/>
        <v>22</v>
      </c>
      <c r="C101" s="38">
        <f>C98+1</f>
        <v>28</v>
      </c>
      <c r="D101" s="112">
        <f>D95</f>
        <v>58.709464221163657</v>
      </c>
      <c r="E101" s="113">
        <f>E92</f>
        <v>48.229287296147568</v>
      </c>
      <c r="F101" s="114"/>
      <c r="G101" s="113">
        <f>IF(Design!$H$19="x",D101,0)</f>
        <v>0</v>
      </c>
      <c r="H101" s="113">
        <f>IF(Design!$H$19="x",E101,0)</f>
        <v>0</v>
      </c>
      <c r="I101" s="116"/>
      <c r="J101" s="117"/>
      <c r="K101" s="113">
        <f>K100</f>
        <v>49.686635267590759</v>
      </c>
      <c r="L101" s="113">
        <f>L100</f>
        <v>48.810014123649253</v>
      </c>
      <c r="M101" s="118"/>
      <c r="N101" s="113">
        <f t="shared" ref="N101:P101" si="101">N100</f>
        <v>6.1666624131761738</v>
      </c>
      <c r="O101" s="113">
        <f t="shared" si="101"/>
        <v>282.83175501432817</v>
      </c>
      <c r="P101" s="155">
        <f t="shared" si="101"/>
        <v>1115.8458988388227</v>
      </c>
      <c r="Q101" s="43">
        <f>ATAN((E100-E101)/(D100-D101))*180/PI()</f>
        <v>-3.6825884650990406</v>
      </c>
      <c r="R101" s="43"/>
      <c r="S101" s="223">
        <f t="shared" si="39"/>
        <v>557.92294941941134</v>
      </c>
      <c r="T101" s="224">
        <f t="shared" si="40"/>
        <v>-557.92294941941134</v>
      </c>
      <c r="U101" s="229">
        <f t="shared" si="41"/>
        <v>93.14495976764556</v>
      </c>
      <c r="V101" s="221"/>
      <c r="W101" s="218">
        <f t="shared" si="42"/>
        <v>511.35046953558856</v>
      </c>
      <c r="X101" s="221"/>
      <c r="Y101" s="202">
        <f t="shared" si="43"/>
        <v>511.35046953558856</v>
      </c>
      <c r="Z101" s="203">
        <f t="shared" si="44"/>
        <v>-511.35046953558856</v>
      </c>
      <c r="AA101" s="221"/>
      <c r="AB101" s="206">
        <f t="shared" si="45"/>
        <v>502.49813703048397</v>
      </c>
      <c r="AC101" s="207">
        <f t="shared" si="46"/>
        <v>-502.49813703048397</v>
      </c>
      <c r="AD101" s="221"/>
      <c r="AE101" s="208">
        <f t="shared" si="47"/>
        <v>490.42705964207852</v>
      </c>
      <c r="AF101" s="209">
        <f t="shared" si="48"/>
        <v>-490.42705964207852</v>
      </c>
      <c r="AG101" s="43">
        <f>IF(C98&gt;0,L101,"")</f>
        <v>48.810014123649253</v>
      </c>
      <c r="AH101" s="43">
        <f>AH100</f>
        <v>282.83175501432817</v>
      </c>
      <c r="AI101" s="43">
        <f>-AI100</f>
        <v>-906.41522996686899</v>
      </c>
      <c r="AL101" s="9" t="s">
        <v>132</v>
      </c>
      <c r="AM101" s="43">
        <f>Panels!C48</f>
        <v>38.029786001071884</v>
      </c>
      <c r="AN101" s="43">
        <f>Panels!D48</f>
        <v>29.012946596280582</v>
      </c>
      <c r="AO101" s="43">
        <f>Panels!C49</f>
        <v>43.074485485083265</v>
      </c>
      <c r="AP101" s="43">
        <f>Panels!D49</f>
        <v>68.040682321040364</v>
      </c>
      <c r="AQ101" s="107">
        <f>IF(AO101&lt;&gt;AM101,(AP101-AN101)/(AO101-AM101),"")</f>
        <v>7.7363846644292451</v>
      </c>
      <c r="AR101" s="107">
        <f>IF(AQ101&lt;&gt;"",(AP101*AM101-AN101*AO101)/(AM101-AO101),AM101)</f>
        <v>-265.20010661393798</v>
      </c>
      <c r="AS101" s="43">
        <f>IF(AQ101&lt;&gt;"",(AR100-AR101)/(AQ101-AQ100),AM101)</f>
        <v>40.663806314017862</v>
      </c>
      <c r="AT101" s="43">
        <f>AS101*AQ100+AR100</f>
        <v>49.390740951150931</v>
      </c>
    </row>
    <row r="102" spans="2:46" s="12" customFormat="1" ht="11.25" x14ac:dyDescent="0.2">
      <c r="B102" s="9"/>
      <c r="C102" s="9"/>
      <c r="D102" s="127"/>
      <c r="E102" s="128"/>
      <c r="F102" s="128"/>
      <c r="G102" s="128"/>
      <c r="H102" s="128"/>
      <c r="I102" s="128"/>
      <c r="J102" s="128"/>
      <c r="K102" s="125">
        <f>K101</f>
        <v>49.686635267590759</v>
      </c>
      <c r="L102" s="125">
        <f>L101</f>
        <v>48.810014123649253</v>
      </c>
      <c r="M102" s="187">
        <f>((D100-D101)^2+(E100-E101)^2)^0.5</f>
        <v>18.082995987790689</v>
      </c>
      <c r="N102" s="125">
        <f>((I100-I97)^2+(J100-J97)^2)^0.5</f>
        <v>4.2857340273132563</v>
      </c>
      <c r="O102" s="125">
        <f>O99+N102</f>
        <v>287.11748904164142</v>
      </c>
      <c r="P102" s="156">
        <f>((D100-D101)^2+(E100-E101)^2)^0.5*Panels!$T$114</f>
        <v>1034.3473705016274</v>
      </c>
      <c r="S102" s="223">
        <f t="shared" si="39"/>
        <v>517.17368525081372</v>
      </c>
      <c r="T102" s="224">
        <f t="shared" si="40"/>
        <v>-517.17368525081372</v>
      </c>
      <c r="U102" s="229">
        <f t="shared" si="41"/>
        <v>-1.3891540359054488E-3</v>
      </c>
      <c r="V102" s="221"/>
      <c r="W102" s="218">
        <f t="shared" si="42"/>
        <v>517.17437982783167</v>
      </c>
      <c r="X102" s="221"/>
      <c r="Y102" s="202">
        <f t="shared" si="43"/>
        <v>517.17437982783167</v>
      </c>
      <c r="Z102" s="203">
        <f t="shared" si="44"/>
        <v>-517.17437982783167</v>
      </c>
      <c r="AA102" s="221"/>
      <c r="AB102" s="206">
        <f t="shared" si="45"/>
        <v>509.86008054291278</v>
      </c>
      <c r="AC102" s="207">
        <f t="shared" si="46"/>
        <v>-509.86008054291278</v>
      </c>
      <c r="AD102" s="221"/>
      <c r="AE102" s="208">
        <f t="shared" si="47"/>
        <v>499.84291806534844</v>
      </c>
      <c r="AF102" s="209">
        <f t="shared" si="48"/>
        <v>-499.84291806534844</v>
      </c>
      <c r="AG102" s="43">
        <f>IF(C98&gt;0,L102,"")</f>
        <v>48.810014123649253</v>
      </c>
      <c r="AJ102" s="43">
        <f>AJ99+N102</f>
        <v>287.11748904164142</v>
      </c>
    </row>
    <row r="103" spans="2:46" s="12" customFormat="1" ht="11.25" x14ac:dyDescent="0.2">
      <c r="B103" s="9"/>
      <c r="C103" s="9"/>
      <c r="D103" s="109">
        <f>AS104</f>
        <v>40.420239884424582</v>
      </c>
      <c r="E103" s="109">
        <f>AT104</f>
        <v>47.506417360475716</v>
      </c>
      <c r="F103" s="111"/>
      <c r="G103" s="110">
        <f>IF(Design!$H$19="x",D103,0)</f>
        <v>0</v>
      </c>
      <c r="H103" s="110">
        <f>IF(Design!$H$19="x",E103,0)</f>
        <v>0</v>
      </c>
      <c r="I103" s="110">
        <f>SUM(D103:D104)/2</f>
        <v>49.564852052794123</v>
      </c>
      <c r="J103" s="110">
        <f>SUM(E103:E104)/2</f>
        <v>46.917852328311639</v>
      </c>
      <c r="K103" s="110">
        <f>IF(Design!$H$18="x",I103,0)</f>
        <v>49.564852052794123</v>
      </c>
      <c r="L103" s="110">
        <f>IF(Design!$H$18="x",J103,0)</f>
        <v>46.917852328311639</v>
      </c>
      <c r="M103" s="120"/>
      <c r="N103" s="110">
        <f t="shared" ref="N103:P103" si="102">N102</f>
        <v>4.2857340273132563</v>
      </c>
      <c r="O103" s="110">
        <f t="shared" si="102"/>
        <v>287.11748904164142</v>
      </c>
      <c r="P103" s="154">
        <f t="shared" si="102"/>
        <v>1034.3473705016274</v>
      </c>
      <c r="S103" s="223">
        <f t="shared" si="39"/>
        <v>517.17368525081372</v>
      </c>
      <c r="T103" s="224">
        <f t="shared" si="40"/>
        <v>-517.17368525081372</v>
      </c>
      <c r="U103" s="229">
        <f t="shared" si="41"/>
        <v>-1.3891540359054488E-3</v>
      </c>
      <c r="V103" s="221"/>
      <c r="W103" s="218">
        <f t="shared" si="42"/>
        <v>517.17437982783167</v>
      </c>
      <c r="X103" s="221"/>
      <c r="Y103" s="202">
        <f t="shared" si="43"/>
        <v>517.17437982783167</v>
      </c>
      <c r="Z103" s="203">
        <f t="shared" si="44"/>
        <v>-517.17437982783167</v>
      </c>
      <c r="AA103" s="221"/>
      <c r="AB103" s="206">
        <f t="shared" si="45"/>
        <v>509.86008054291278</v>
      </c>
      <c r="AC103" s="207">
        <f t="shared" si="46"/>
        <v>-509.86008054291278</v>
      </c>
      <c r="AD103" s="221"/>
      <c r="AE103" s="208">
        <f t="shared" si="47"/>
        <v>499.84291806534844</v>
      </c>
      <c r="AF103" s="209">
        <f t="shared" si="48"/>
        <v>-499.84291806534844</v>
      </c>
      <c r="AG103" s="43">
        <f>IF(C101&gt;0,L103,"")</f>
        <v>46.917852328311639</v>
      </c>
      <c r="AH103" s="43">
        <f>O102</f>
        <v>287.11748904164142</v>
      </c>
      <c r="AI103" s="43">
        <f>$R$165/2</f>
        <v>906.41522996686899</v>
      </c>
      <c r="AJ103" s="43"/>
      <c r="AL103" s="9" t="s">
        <v>33</v>
      </c>
      <c r="AM103" s="43">
        <f>Panels!C61</f>
        <v>58.709464221163657</v>
      </c>
      <c r="AN103" s="43">
        <f>Panels!D61</f>
        <v>46.329287296147569</v>
      </c>
      <c r="AO103" s="43">
        <f>AM103-100*Panels!X8</f>
        <v>-41.084054061591559</v>
      </c>
      <c r="AP103" s="43">
        <f>AN103+100*Panels!Y8</f>
        <v>52.752192304739964</v>
      </c>
      <c r="AQ103" s="107">
        <f>(AP103-AN103)/(AO103-AM103)</f>
        <v>-6.4361945736733303E-2</v>
      </c>
      <c r="AR103" s="107">
        <f>(AP103*AM103-AN103*AO103)/(AM103-AO103)</f>
        <v>50.107942646582792</v>
      </c>
    </row>
    <row r="104" spans="2:46" s="12" customFormat="1" ht="11.25" x14ac:dyDescent="0.2">
      <c r="B104" s="9">
        <f t="shared" si="2"/>
        <v>21</v>
      </c>
      <c r="C104" s="38">
        <f>C101+1</f>
        <v>29</v>
      </c>
      <c r="D104" s="112">
        <f>Panels!C61</f>
        <v>58.709464221163657</v>
      </c>
      <c r="E104" s="112">
        <f>Panels!D61</f>
        <v>46.329287296147569</v>
      </c>
      <c r="F104" s="114"/>
      <c r="G104" s="113">
        <f>IF(Design!$H$19="x",D104,0)</f>
        <v>0</v>
      </c>
      <c r="H104" s="113">
        <f>IF(Design!$H$19="x",E104,0)</f>
        <v>0</v>
      </c>
      <c r="I104" s="116"/>
      <c r="J104" s="117"/>
      <c r="K104" s="113">
        <f>K103</f>
        <v>49.564852052794123</v>
      </c>
      <c r="L104" s="113">
        <f>L103</f>
        <v>46.917852328311639</v>
      </c>
      <c r="M104" s="118"/>
      <c r="N104" s="113">
        <f t="shared" ref="N104:P104" si="103">N103</f>
        <v>4.2857340273132563</v>
      </c>
      <c r="O104" s="113">
        <f t="shared" si="103"/>
        <v>287.11748904164142</v>
      </c>
      <c r="P104" s="155">
        <f t="shared" si="103"/>
        <v>1034.3473705016274</v>
      </c>
      <c r="Q104" s="43">
        <f>ATAN((E103-E104)/(D103-D104))*180/PI()</f>
        <v>-3.682588465099073</v>
      </c>
      <c r="R104" s="43"/>
      <c r="S104" s="223">
        <f t="shared" ref="S104:S138" si="104">P104/2</f>
        <v>517.17368525081372</v>
      </c>
      <c r="T104" s="224">
        <f t="shared" ref="T104:T138" si="105">-S104</f>
        <v>-517.17368525081372</v>
      </c>
      <c r="U104" s="229">
        <f t="shared" ref="U104:U138" si="106">(S104-W104)*2</f>
        <v>-1.3891540359054488E-3</v>
      </c>
      <c r="V104" s="221"/>
      <c r="W104" s="218">
        <f t="shared" ref="W104:W138" si="107">IF($H$16="Par",Y104,0)+IF($H$16="Con",AB104,0)+IF($H$16="Exp",AE104,0)</f>
        <v>517.17437982783167</v>
      </c>
      <c r="X104" s="221"/>
      <c r="Y104" s="202">
        <f t="shared" ref="Y104:Y138" si="108">((_S3_-_S2_)*(O104-_L2_)/(_L3_-_L2_)+_S2_)/2</f>
        <v>517.17437982783167</v>
      </c>
      <c r="Z104" s="203">
        <f t="shared" ref="Z104:Z141" si="109">-Y104</f>
        <v>-517.17437982783167</v>
      </c>
      <c r="AA104" s="221"/>
      <c r="AB104" s="206">
        <f t="shared" ref="AB104:AB111" si="110">PI()*($Q$11*(O104-_L2_)*2+$O$11)^2/2</f>
        <v>509.86008054291278</v>
      </c>
      <c r="AC104" s="207">
        <f t="shared" ref="AC104:AC141" si="111">-AB104</f>
        <v>-509.86008054291278</v>
      </c>
      <c r="AD104" s="221"/>
      <c r="AE104" s="208">
        <f t="shared" ref="AE104:AE111" si="112">($H$11*EXP($S$11*(O104-$I$11)))/2</f>
        <v>499.84291806534844</v>
      </c>
      <c r="AF104" s="209">
        <f t="shared" ref="AF104:AF141" si="113">-AE104</f>
        <v>-499.84291806534844</v>
      </c>
      <c r="AG104" s="43">
        <f>IF(C101&gt;0,L104,"")</f>
        <v>46.917852328311639</v>
      </c>
      <c r="AH104" s="43">
        <f>AH103</f>
        <v>287.11748904164142</v>
      </c>
      <c r="AI104" s="43">
        <f>-AI103</f>
        <v>-906.41522996686899</v>
      </c>
      <c r="AL104" s="9" t="s">
        <v>132</v>
      </c>
      <c r="AM104" s="43">
        <f>AM101</f>
        <v>38.029786001071884</v>
      </c>
      <c r="AN104" s="43">
        <f>AN101</f>
        <v>29.012946596280582</v>
      </c>
      <c r="AO104" s="43">
        <f>AO101</f>
        <v>43.074485485083265</v>
      </c>
      <c r="AP104" s="43">
        <f>AP101</f>
        <v>68.040682321040364</v>
      </c>
      <c r="AQ104" s="107">
        <f>IF(AO104&lt;&gt;AM104,(AP104-AN104)/(AO104-AM104),"")</f>
        <v>7.7363846644292451</v>
      </c>
      <c r="AR104" s="107">
        <f>IF(AQ104&lt;&gt;"",(AP104*AM104-AN104*AO104)/(AM104-AO104),AM104)</f>
        <v>-265.20010661393798</v>
      </c>
      <c r="AS104" s="43">
        <f>IF(AQ104&lt;&gt;"",(AR103-AR104)/(AQ104-AQ103),AM104)</f>
        <v>40.420239884424582</v>
      </c>
      <c r="AT104" s="43">
        <f>AS104*AQ103+AR103</f>
        <v>47.506417360475716</v>
      </c>
    </row>
    <row r="105" spans="2:46" s="12" customFormat="1" ht="11.25" x14ac:dyDescent="0.2">
      <c r="B105" s="9"/>
      <c r="C105" s="9"/>
      <c r="D105" s="127"/>
      <c r="E105" s="128"/>
      <c r="F105" s="128"/>
      <c r="G105" s="128"/>
      <c r="H105" s="128"/>
      <c r="I105" s="128"/>
      <c r="J105" s="128"/>
      <c r="K105" s="125">
        <f>K104</f>
        <v>49.564852052794123</v>
      </c>
      <c r="L105" s="125">
        <f>L104</f>
        <v>46.917852328311639</v>
      </c>
      <c r="M105" s="187">
        <f>((D103-D104)^2+(E103-E104)^2)^0.5</f>
        <v>18.327066378117205</v>
      </c>
      <c r="N105" s="125">
        <f>((I103-I100)^2+(J103-J100)^2)^0.5</f>
        <v>1.8960768473723493</v>
      </c>
      <c r="O105" s="125">
        <f>O102+N105</f>
        <v>289.01356588901376</v>
      </c>
      <c r="P105" s="156">
        <f>((D103-D104)^2+(E103-E104)^2)^0.5*Panels!$T$114</f>
        <v>1048.3081968283043</v>
      </c>
      <c r="S105" s="223">
        <f t="shared" si="104"/>
        <v>524.15409841415214</v>
      </c>
      <c r="T105" s="224">
        <f t="shared" si="105"/>
        <v>-524.15409841415214</v>
      </c>
      <c r="U105" s="229">
        <f t="shared" si="106"/>
        <v>8.8062562258437538</v>
      </c>
      <c r="V105" s="221"/>
      <c r="W105" s="218">
        <f t="shared" si="107"/>
        <v>519.75097030123027</v>
      </c>
      <c r="X105" s="221"/>
      <c r="Y105" s="202">
        <f t="shared" si="108"/>
        <v>519.75097030123027</v>
      </c>
      <c r="Z105" s="203">
        <f t="shared" si="109"/>
        <v>-519.75097030123027</v>
      </c>
      <c r="AA105" s="221"/>
      <c r="AB105" s="206">
        <f t="shared" si="110"/>
        <v>513.13420371093787</v>
      </c>
      <c r="AC105" s="207">
        <f t="shared" si="111"/>
        <v>-513.13420371093787</v>
      </c>
      <c r="AD105" s="221"/>
      <c r="AE105" s="208">
        <f t="shared" si="112"/>
        <v>504.06612068413472</v>
      </c>
      <c r="AF105" s="209">
        <f t="shared" si="113"/>
        <v>-504.06612068413472</v>
      </c>
      <c r="AG105" s="43">
        <f>IF(C101&gt;0,L105,"")</f>
        <v>46.917852328311639</v>
      </c>
      <c r="AJ105" s="43">
        <f>AJ102+N105</f>
        <v>289.01356588901376</v>
      </c>
    </row>
    <row r="106" spans="2:46" s="12" customFormat="1" ht="11.25" x14ac:dyDescent="0.2">
      <c r="B106" s="9"/>
      <c r="C106" s="9"/>
      <c r="D106" s="109">
        <f>(D103+Panels!C48)/2</f>
        <v>39.225012942748236</v>
      </c>
      <c r="E106" s="110">
        <f>(E103+Panels!D48)/2</f>
        <v>38.259681978378147</v>
      </c>
      <c r="F106" s="111"/>
      <c r="G106" s="110">
        <f>IF(Design!$H$19="x",D106,0)</f>
        <v>0</v>
      </c>
      <c r="H106" s="110">
        <f>IF(Design!$H$19="x",E106,0)</f>
        <v>0</v>
      </c>
      <c r="I106" s="110">
        <f>SUM(D106:D107)/2</f>
        <v>48.967238581955947</v>
      </c>
      <c r="J106" s="110">
        <f>SUM(E106:E107)/2</f>
        <v>42.294484637262855</v>
      </c>
      <c r="K106" s="110">
        <f>IF(Design!$H$18="x",I106,0)</f>
        <v>48.967238581955947</v>
      </c>
      <c r="L106" s="110">
        <f>IF(Design!$H$18="x",J106,0)</f>
        <v>42.294484637262855</v>
      </c>
      <c r="M106" s="120"/>
      <c r="N106" s="110">
        <f t="shared" ref="N106:P106" si="114">N105</f>
        <v>1.8960768473723493</v>
      </c>
      <c r="O106" s="110">
        <f t="shared" si="114"/>
        <v>289.01356588901376</v>
      </c>
      <c r="P106" s="154">
        <f t="shared" si="114"/>
        <v>1048.3081968283043</v>
      </c>
      <c r="S106" s="223">
        <f t="shared" si="104"/>
        <v>524.15409841415214</v>
      </c>
      <c r="T106" s="224">
        <f t="shared" si="105"/>
        <v>-524.15409841415214</v>
      </c>
      <c r="U106" s="229">
        <f t="shared" si="106"/>
        <v>8.8062562258437538</v>
      </c>
      <c r="V106" s="221"/>
      <c r="W106" s="218">
        <f t="shared" si="107"/>
        <v>519.75097030123027</v>
      </c>
      <c r="X106" s="221"/>
      <c r="Y106" s="202">
        <f t="shared" si="108"/>
        <v>519.75097030123027</v>
      </c>
      <c r="Z106" s="203">
        <f t="shared" si="109"/>
        <v>-519.75097030123027</v>
      </c>
      <c r="AA106" s="221"/>
      <c r="AB106" s="206">
        <f t="shared" si="110"/>
        <v>513.13420371093787</v>
      </c>
      <c r="AC106" s="207">
        <f t="shared" si="111"/>
        <v>-513.13420371093787</v>
      </c>
      <c r="AD106" s="221"/>
      <c r="AE106" s="208">
        <f t="shared" si="112"/>
        <v>504.06612068413472</v>
      </c>
      <c r="AF106" s="209">
        <f t="shared" si="113"/>
        <v>-504.06612068413472</v>
      </c>
      <c r="AG106" s="43">
        <f>IF(C104&gt;0,L106,"")</f>
        <v>42.294484637262855</v>
      </c>
      <c r="AH106" s="43">
        <f>O105</f>
        <v>289.01356588901376</v>
      </c>
      <c r="AI106" s="43">
        <f>$R$165/2</f>
        <v>906.41522996686899</v>
      </c>
      <c r="AJ106" s="43"/>
    </row>
    <row r="107" spans="2:46" s="12" customFormat="1" ht="11.25" x14ac:dyDescent="0.2">
      <c r="B107" s="9">
        <f t="shared" ref="B107:B155" si="115">B110+1</f>
        <v>20</v>
      </c>
      <c r="C107" s="38">
        <f>C104+1</f>
        <v>30</v>
      </c>
      <c r="D107" s="112">
        <f>D104</f>
        <v>58.709464221163657</v>
      </c>
      <c r="E107" s="112">
        <f>E104</f>
        <v>46.329287296147569</v>
      </c>
      <c r="F107" s="114"/>
      <c r="G107" s="113">
        <f>IF(Design!$H$19="x",D107,0)</f>
        <v>0</v>
      </c>
      <c r="H107" s="113">
        <f>IF(Design!$H$19="x",E107,0)</f>
        <v>0</v>
      </c>
      <c r="I107" s="116"/>
      <c r="J107" s="117"/>
      <c r="K107" s="113">
        <f>K106</f>
        <v>48.967238581955947</v>
      </c>
      <c r="L107" s="113">
        <f>L106</f>
        <v>42.294484637262855</v>
      </c>
      <c r="M107" s="118"/>
      <c r="N107" s="113">
        <f t="shared" ref="N107:P107" si="116">N106</f>
        <v>1.8960768473723493</v>
      </c>
      <c r="O107" s="113">
        <f t="shared" si="116"/>
        <v>289.01356588901376</v>
      </c>
      <c r="P107" s="155">
        <f t="shared" si="116"/>
        <v>1048.3081968283043</v>
      </c>
      <c r="Q107" s="43">
        <f>ATAN((E106-E107)/(D106-D107))*180/PI()</f>
        <v>22.49719216901746</v>
      </c>
      <c r="R107" s="43"/>
      <c r="S107" s="223">
        <f t="shared" si="104"/>
        <v>524.15409841415214</v>
      </c>
      <c r="T107" s="224">
        <f t="shared" si="105"/>
        <v>-524.15409841415214</v>
      </c>
      <c r="U107" s="229">
        <f t="shared" si="106"/>
        <v>8.8062562258437538</v>
      </c>
      <c r="V107" s="221"/>
      <c r="W107" s="218">
        <f t="shared" si="107"/>
        <v>519.75097030123027</v>
      </c>
      <c r="X107" s="221"/>
      <c r="Y107" s="202">
        <f t="shared" si="108"/>
        <v>519.75097030123027</v>
      </c>
      <c r="Z107" s="203">
        <f t="shared" si="109"/>
        <v>-519.75097030123027</v>
      </c>
      <c r="AA107" s="221"/>
      <c r="AB107" s="206">
        <f t="shared" si="110"/>
        <v>513.13420371093787</v>
      </c>
      <c r="AC107" s="207">
        <f t="shared" si="111"/>
        <v>-513.13420371093787</v>
      </c>
      <c r="AD107" s="221"/>
      <c r="AE107" s="208">
        <f t="shared" si="112"/>
        <v>504.06612068413472</v>
      </c>
      <c r="AF107" s="209">
        <f t="shared" si="113"/>
        <v>-504.06612068413472</v>
      </c>
      <c r="AG107" s="43">
        <f>IF(C104&gt;0,L107,"")</f>
        <v>42.294484637262855</v>
      </c>
      <c r="AH107" s="43">
        <f>AH106</f>
        <v>289.01356588901376</v>
      </c>
      <c r="AI107" s="43">
        <f>-AI106</f>
        <v>-906.41522996686899</v>
      </c>
      <c r="AL107" s="12" t="s">
        <v>87</v>
      </c>
      <c r="AM107" s="43">
        <f>AS17</f>
        <v>33.163421552901738</v>
      </c>
      <c r="AN107" s="43">
        <f>AT17</f>
        <v>47.467336681397569</v>
      </c>
      <c r="AO107" s="43">
        <f>AO15</f>
        <v>31.269654462761739</v>
      </c>
      <c r="AP107" s="43">
        <f>AP15</f>
        <v>47.621109918024345</v>
      </c>
      <c r="AQ107" s="107">
        <f>(AP107-AN107)/(AO107-AM107)</f>
        <v>-8.11996561918331E-2</v>
      </c>
      <c r="AR107" s="107">
        <f>(AP107*AM107-AN107*AO107)/(AM107-AO107)</f>
        <v>50.160195109638053</v>
      </c>
    </row>
    <row r="108" spans="2:46" s="12" customFormat="1" ht="11.25" x14ac:dyDescent="0.2">
      <c r="B108" s="9"/>
      <c r="C108" s="9"/>
      <c r="D108" s="127"/>
      <c r="E108" s="128"/>
      <c r="F108" s="128"/>
      <c r="G108" s="128"/>
      <c r="H108" s="128"/>
      <c r="I108" s="128"/>
      <c r="J108" s="128"/>
      <c r="K108" s="125">
        <f>K107</f>
        <v>48.967238581955947</v>
      </c>
      <c r="L108" s="125">
        <f>L107</f>
        <v>42.294484637262855</v>
      </c>
      <c r="M108" s="187">
        <f>((D106-D107)^2+(E106-E107)^2)^0.5</f>
        <v>21.089390024500872</v>
      </c>
      <c r="N108" s="125">
        <f>((I106-I103)^2+(J106-J103)^2)^0.5</f>
        <v>4.6618312568304123</v>
      </c>
      <c r="O108" s="125">
        <f>O105+N108</f>
        <v>293.67539714584416</v>
      </c>
      <c r="P108" s="156">
        <f>((D106-D107)^2+(E106-E107)^2)^0.5*Panels!$T$114</f>
        <v>1206.31310940145</v>
      </c>
      <c r="S108" s="223">
        <f t="shared" si="104"/>
        <v>603.156554700725</v>
      </c>
      <c r="T108" s="224">
        <f t="shared" si="105"/>
        <v>-603.156554700725</v>
      </c>
      <c r="U108" s="229">
        <f t="shared" si="106"/>
        <v>154.14118654422236</v>
      </c>
      <c r="V108" s="221"/>
      <c r="W108" s="218">
        <f t="shared" si="107"/>
        <v>526.08596142861381</v>
      </c>
      <c r="X108" s="221"/>
      <c r="Y108" s="202">
        <f t="shared" si="108"/>
        <v>526.08596142861381</v>
      </c>
      <c r="Z108" s="203">
        <f t="shared" si="109"/>
        <v>-526.08596142861381</v>
      </c>
      <c r="AA108" s="221"/>
      <c r="AB108" s="206">
        <f t="shared" si="110"/>
        <v>521.22875417128171</v>
      </c>
      <c r="AC108" s="207">
        <f t="shared" si="111"/>
        <v>-521.22875417128171</v>
      </c>
      <c r="AD108" s="221"/>
      <c r="AE108" s="208">
        <f t="shared" si="112"/>
        <v>514.60193065814769</v>
      </c>
      <c r="AF108" s="209">
        <f t="shared" si="113"/>
        <v>-514.60193065814769</v>
      </c>
      <c r="AG108" s="43">
        <f>IF(C104&gt;0,L108,"")</f>
        <v>42.294484637262855</v>
      </c>
      <c r="AJ108" s="43">
        <f>AJ105+N108</f>
        <v>293.67539714584416</v>
      </c>
    </row>
    <row r="109" spans="2:46" s="12" customFormat="1" ht="11.25" x14ac:dyDescent="0.2">
      <c r="B109" s="9"/>
      <c r="C109" s="9"/>
      <c r="D109" s="109">
        <f>(Panels!C48+D112)/2</f>
        <v>47.985914044270523</v>
      </c>
      <c r="E109" s="109">
        <f>(Panels!D48+E112)/2</f>
        <v>28.204512422171035</v>
      </c>
      <c r="F109" s="111"/>
      <c r="G109" s="110">
        <f>IF(Design!$H$19="x",D109,0)</f>
        <v>0</v>
      </c>
      <c r="H109" s="110">
        <f>IF(Design!$H$19="x",E109,0)</f>
        <v>0</v>
      </c>
      <c r="I109" s="110">
        <f>SUM(D109:D110)/2</f>
        <v>53.347689132717093</v>
      </c>
      <c r="J109" s="110">
        <f>SUM(E109:E110)/2</f>
        <v>37.266899859159302</v>
      </c>
      <c r="K109" s="110">
        <f>IF(Design!$H$18="x",I109,0)</f>
        <v>53.347689132717093</v>
      </c>
      <c r="L109" s="110">
        <f>IF(Design!$H$18="x",J109,0)</f>
        <v>37.266899859159302</v>
      </c>
      <c r="M109" s="120"/>
      <c r="N109" s="110">
        <f t="shared" ref="N109:P109" si="117">N108</f>
        <v>4.6618312568304123</v>
      </c>
      <c r="O109" s="110">
        <f t="shared" si="117"/>
        <v>293.67539714584416</v>
      </c>
      <c r="P109" s="154">
        <f t="shared" si="117"/>
        <v>1206.31310940145</v>
      </c>
      <c r="S109" s="223">
        <f t="shared" si="104"/>
        <v>603.156554700725</v>
      </c>
      <c r="T109" s="224">
        <f t="shared" si="105"/>
        <v>-603.156554700725</v>
      </c>
      <c r="U109" s="229">
        <f t="shared" si="106"/>
        <v>154.14118654422236</v>
      </c>
      <c r="V109" s="221"/>
      <c r="W109" s="218">
        <f t="shared" si="107"/>
        <v>526.08596142861381</v>
      </c>
      <c r="X109" s="221"/>
      <c r="Y109" s="202">
        <f t="shared" si="108"/>
        <v>526.08596142861381</v>
      </c>
      <c r="Z109" s="203">
        <f t="shared" si="109"/>
        <v>-526.08596142861381</v>
      </c>
      <c r="AA109" s="221"/>
      <c r="AB109" s="206">
        <f t="shared" si="110"/>
        <v>521.22875417128171</v>
      </c>
      <c r="AC109" s="207">
        <f t="shared" si="111"/>
        <v>-521.22875417128171</v>
      </c>
      <c r="AD109" s="221"/>
      <c r="AE109" s="208">
        <f t="shared" si="112"/>
        <v>514.60193065814769</v>
      </c>
      <c r="AF109" s="209">
        <f t="shared" si="113"/>
        <v>-514.60193065814769</v>
      </c>
      <c r="AG109" s="43">
        <f>IF(C107&gt;0,L109,"")</f>
        <v>37.266899859159302</v>
      </c>
      <c r="AH109" s="43">
        <f>O108</f>
        <v>293.67539714584416</v>
      </c>
      <c r="AI109" s="43">
        <f>$R$165/2</f>
        <v>906.41522996686899</v>
      </c>
      <c r="AJ109" s="43"/>
    </row>
    <row r="110" spans="2:46" s="12" customFormat="1" ht="11.25" x14ac:dyDescent="0.2">
      <c r="B110" s="9">
        <f t="shared" si="115"/>
        <v>19</v>
      </c>
      <c r="C110" s="38">
        <f>C107+1</f>
        <v>31</v>
      </c>
      <c r="D110" s="112">
        <f>D107</f>
        <v>58.709464221163657</v>
      </c>
      <c r="E110" s="113">
        <f>E107</f>
        <v>46.329287296147569</v>
      </c>
      <c r="F110" s="114"/>
      <c r="G110" s="113">
        <f>IF(Design!$H$19="x",D110,0)</f>
        <v>0</v>
      </c>
      <c r="H110" s="113">
        <f>IF(Design!$H$19="x",E110,0)</f>
        <v>0</v>
      </c>
      <c r="I110" s="116"/>
      <c r="J110" s="117"/>
      <c r="K110" s="113">
        <f>K109</f>
        <v>53.347689132717093</v>
      </c>
      <c r="L110" s="113">
        <f>L109</f>
        <v>37.266899859159302</v>
      </c>
      <c r="M110" s="118"/>
      <c r="N110" s="113">
        <f t="shared" ref="N110:P110" si="118">N109</f>
        <v>4.6618312568304123</v>
      </c>
      <c r="O110" s="113">
        <f t="shared" si="118"/>
        <v>293.67539714584416</v>
      </c>
      <c r="P110" s="155">
        <f t="shared" si="118"/>
        <v>1206.31310940145</v>
      </c>
      <c r="Q110" s="43">
        <f>ATAN((E109-E110)/(D109-D110))*180/PI()</f>
        <v>59.389255408554909</v>
      </c>
      <c r="R110" s="43"/>
      <c r="S110" s="223">
        <f t="shared" si="104"/>
        <v>603.156554700725</v>
      </c>
      <c r="T110" s="224">
        <f t="shared" si="105"/>
        <v>-603.156554700725</v>
      </c>
      <c r="U110" s="229">
        <f t="shared" si="106"/>
        <v>154.14118654422236</v>
      </c>
      <c r="V110" s="221"/>
      <c r="W110" s="218">
        <f t="shared" si="107"/>
        <v>526.08596142861381</v>
      </c>
      <c r="X110" s="221"/>
      <c r="Y110" s="202">
        <f t="shared" si="108"/>
        <v>526.08596142861381</v>
      </c>
      <c r="Z110" s="203">
        <f t="shared" si="109"/>
        <v>-526.08596142861381</v>
      </c>
      <c r="AA110" s="221"/>
      <c r="AB110" s="206">
        <f t="shared" si="110"/>
        <v>521.22875417128171</v>
      </c>
      <c r="AC110" s="207">
        <f t="shared" si="111"/>
        <v>-521.22875417128171</v>
      </c>
      <c r="AD110" s="221"/>
      <c r="AE110" s="208">
        <f t="shared" si="112"/>
        <v>514.60193065814769</v>
      </c>
      <c r="AF110" s="209">
        <f t="shared" si="113"/>
        <v>-514.60193065814769</v>
      </c>
      <c r="AG110" s="43">
        <f>IF(C107&gt;0,L110,"")</f>
        <v>37.266899859159302</v>
      </c>
      <c r="AH110" s="43">
        <f>AH109</f>
        <v>293.67539714584416</v>
      </c>
      <c r="AI110" s="43">
        <f>-AI109</f>
        <v>-906.41522996686899</v>
      </c>
    </row>
    <row r="111" spans="2:46" s="12" customFormat="1" ht="11.25" x14ac:dyDescent="0.2">
      <c r="B111" s="9"/>
      <c r="C111" s="9"/>
      <c r="D111" s="126"/>
      <c r="E111" s="114"/>
      <c r="F111" s="114"/>
      <c r="G111" s="114"/>
      <c r="H111" s="114"/>
      <c r="I111" s="114"/>
      <c r="J111" s="114"/>
      <c r="K111" s="125">
        <f>K110</f>
        <v>53.347689132717093</v>
      </c>
      <c r="L111" s="125">
        <f>L110</f>
        <v>37.266899859159302</v>
      </c>
      <c r="M111" s="187">
        <f>((D109-D110)^2+(E109-E110)^2)^0.5</f>
        <v>21.059486998231364</v>
      </c>
      <c r="N111" s="125">
        <f>((I109-I106)^2+(J109-J106)^2)^0.5</f>
        <v>6.6682048355372361</v>
      </c>
      <c r="O111" s="125">
        <f>O108+N111</f>
        <v>300.34360198138137</v>
      </c>
      <c r="P111" s="156">
        <f>((D109-D110)^2+(E109-E110)^2)^0.5*Panels!$T$114</f>
        <v>1204.6026562988341</v>
      </c>
      <c r="S111" s="223">
        <f t="shared" si="104"/>
        <v>602.30132814941703</v>
      </c>
      <c r="T111" s="224">
        <f t="shared" si="105"/>
        <v>-602.30132814941703</v>
      </c>
      <c r="U111" s="229">
        <f t="shared" si="106"/>
        <v>134.30780442875948</v>
      </c>
      <c r="V111" s="221"/>
      <c r="W111" s="218">
        <f t="shared" si="107"/>
        <v>535.14742593503729</v>
      </c>
      <c r="X111" s="221"/>
      <c r="Y111" s="202">
        <f t="shared" si="108"/>
        <v>535.14742593503729</v>
      </c>
      <c r="Z111" s="203">
        <f t="shared" si="109"/>
        <v>-535.14742593503729</v>
      </c>
      <c r="AA111" s="221"/>
      <c r="AB111" s="206">
        <f t="shared" si="110"/>
        <v>532.91717002790494</v>
      </c>
      <c r="AC111" s="207">
        <f t="shared" si="111"/>
        <v>-532.91717002790494</v>
      </c>
      <c r="AD111" s="221"/>
      <c r="AE111" s="208">
        <f t="shared" si="112"/>
        <v>530.05609669796138</v>
      </c>
      <c r="AF111" s="209">
        <f t="shared" si="113"/>
        <v>-530.05609669796138</v>
      </c>
      <c r="AG111" s="43">
        <f>IF(C107&gt;0,L111,"")</f>
        <v>37.266899859159302</v>
      </c>
      <c r="AJ111" s="43">
        <f>AJ108+N111</f>
        <v>300.34360198138137</v>
      </c>
    </row>
    <row r="112" spans="2:46" s="12" customFormat="1" ht="11.25" x14ac:dyDescent="0.2">
      <c r="B112" s="9"/>
      <c r="C112" s="9"/>
      <c r="D112" s="109">
        <f>AS113</f>
        <v>57.942042087469162</v>
      </c>
      <c r="E112" s="110">
        <f>AT113</f>
        <v>27.396078248061485</v>
      </c>
      <c r="F112" s="111"/>
      <c r="G112" s="110">
        <f>IF(Design!$H$19="x",D112,0)</f>
        <v>0</v>
      </c>
      <c r="H112" s="110">
        <f>IF(Design!$H$19="x",E112,0)</f>
        <v>0</v>
      </c>
      <c r="I112" s="110">
        <f>SUM(D112:D113)/2</f>
        <v>58.325753154316409</v>
      </c>
      <c r="J112" s="110">
        <f>SUM(E112:E113)/2</f>
        <v>36.862682772104527</v>
      </c>
      <c r="K112" s="110">
        <f>IF(Design!$H$18="x",I112,0)</f>
        <v>58.325753154316409</v>
      </c>
      <c r="L112" s="110">
        <f>IF(Design!$H$18="x",J112,0)</f>
        <v>36.862682772104527</v>
      </c>
      <c r="M112" s="120"/>
      <c r="N112" s="110">
        <f t="shared" ref="N112:P112" si="119">N111</f>
        <v>6.6682048355372361</v>
      </c>
      <c r="O112" s="110">
        <f t="shared" si="119"/>
        <v>300.34360198138137</v>
      </c>
      <c r="P112" s="154">
        <f t="shared" si="119"/>
        <v>1204.6026562988341</v>
      </c>
      <c r="S112" s="223">
        <f t="shared" si="104"/>
        <v>602.30132814941703</v>
      </c>
      <c r="T112" s="224">
        <f t="shared" si="105"/>
        <v>-602.30132814941703</v>
      </c>
      <c r="U112" s="229">
        <f t="shared" si="106"/>
        <v>143.91601347987262</v>
      </c>
      <c r="V112" s="221"/>
      <c r="W112" s="218">
        <f t="shared" si="107"/>
        <v>530.34332140948072</v>
      </c>
      <c r="X112" s="221"/>
      <c r="Y112" s="202">
        <f t="shared" ref="Y112:Y114" si="120">((_S5_-_S3_)*(O112-_L3_)/(_L5_-_L3_)+_S3_)/2</f>
        <v>530.34332140948072</v>
      </c>
      <c r="Z112" s="203">
        <f t="shared" ref="Z112:Z114" si="121">-Y112</f>
        <v>-530.34332140948072</v>
      </c>
      <c r="AA112" s="221"/>
      <c r="AB112" s="202">
        <f t="shared" ref="AB112:AB141" si="122">Y112</f>
        <v>530.34332140948072</v>
      </c>
      <c r="AC112" s="203">
        <f t="shared" si="111"/>
        <v>-530.34332140948072</v>
      </c>
      <c r="AD112" s="221"/>
      <c r="AE112" s="202">
        <f t="shared" ref="AE112:AE141" si="123">Y112</f>
        <v>530.34332140948072</v>
      </c>
      <c r="AF112" s="203">
        <f t="shared" si="113"/>
        <v>-530.34332140948072</v>
      </c>
      <c r="AG112" s="43">
        <f>IF(C110&gt;0,L112,"")</f>
        <v>36.862682772104527</v>
      </c>
      <c r="AH112" s="43">
        <f>O111</f>
        <v>300.34360198138137</v>
      </c>
      <c r="AI112" s="43">
        <f>$R$165/2</f>
        <v>906.41522996686899</v>
      </c>
      <c r="AJ112" s="43"/>
      <c r="AL112" s="9" t="s">
        <v>83</v>
      </c>
      <c r="AM112" s="43">
        <f>Panels!C42</f>
        <v>29.81285537892925</v>
      </c>
      <c r="AN112" s="43">
        <f>Panels!D42</f>
        <v>29.68015853775065</v>
      </c>
      <c r="AO112" s="43">
        <f>Panels!C45</f>
        <v>67.579498272542139</v>
      </c>
      <c r="AP112" s="43">
        <f>Panels!D45</f>
        <v>26.613520119269818</v>
      </c>
      <c r="AQ112" s="107">
        <f>(AP112-AN112)/(AO112-AM112)</f>
        <v>-8.1199656191825897E-2</v>
      </c>
      <c r="AR112" s="107">
        <f>(AP112*AM112-AN112*AO112)/(AM112-AO112)</f>
        <v>32.100952144616336</v>
      </c>
    </row>
    <row r="113" spans="1:46" s="12" customFormat="1" ht="11.25" x14ac:dyDescent="0.2">
      <c r="A113" s="9" t="s">
        <v>53</v>
      </c>
      <c r="B113" s="9">
        <f t="shared" si="115"/>
        <v>18</v>
      </c>
      <c r="C113" s="38">
        <f>C110+1</f>
        <v>32</v>
      </c>
      <c r="D113" s="112">
        <f>D110</f>
        <v>58.709464221163657</v>
      </c>
      <c r="E113" s="113">
        <f>E110</f>
        <v>46.329287296147569</v>
      </c>
      <c r="F113" s="113"/>
      <c r="G113" s="113">
        <f>IF(Design!$H$19="x",D113,0)</f>
        <v>0</v>
      </c>
      <c r="H113" s="113">
        <f>IF(Design!$H$19="x",E113,0)</f>
        <v>0</v>
      </c>
      <c r="I113" s="116"/>
      <c r="J113" s="117"/>
      <c r="K113" s="113">
        <f>K112</f>
        <v>58.325753154316409</v>
      </c>
      <c r="L113" s="113">
        <f>L112</f>
        <v>36.862682772104527</v>
      </c>
      <c r="M113" s="118"/>
      <c r="N113" s="113">
        <f t="shared" ref="N113:P113" si="124">N112</f>
        <v>6.6682048355372361</v>
      </c>
      <c r="O113" s="113">
        <f t="shared" si="124"/>
        <v>300.34360198138137</v>
      </c>
      <c r="P113" s="155">
        <f t="shared" si="124"/>
        <v>1204.6026562988341</v>
      </c>
      <c r="Q113" s="43">
        <f>ATAN((E112-E113)/(D112-D113))*180/PI()</f>
        <v>87.678893578120551</v>
      </c>
      <c r="R113" s="43"/>
      <c r="S113" s="223">
        <f t="shared" si="104"/>
        <v>602.30132814941703</v>
      </c>
      <c r="T113" s="224">
        <f t="shared" si="105"/>
        <v>-602.30132814941703</v>
      </c>
      <c r="U113" s="229">
        <f t="shared" si="106"/>
        <v>143.91601347987262</v>
      </c>
      <c r="V113" s="221"/>
      <c r="W113" s="218">
        <f t="shared" si="107"/>
        <v>530.34332140948072</v>
      </c>
      <c r="X113" s="221"/>
      <c r="Y113" s="202">
        <f t="shared" si="120"/>
        <v>530.34332140948072</v>
      </c>
      <c r="Z113" s="203">
        <f t="shared" si="121"/>
        <v>-530.34332140948072</v>
      </c>
      <c r="AA113" s="221"/>
      <c r="AB113" s="202">
        <f t="shared" si="122"/>
        <v>530.34332140948072</v>
      </c>
      <c r="AC113" s="203">
        <f t="shared" si="111"/>
        <v>-530.34332140948072</v>
      </c>
      <c r="AD113" s="221"/>
      <c r="AE113" s="202">
        <f t="shared" si="123"/>
        <v>530.34332140948072</v>
      </c>
      <c r="AF113" s="203">
        <f t="shared" si="113"/>
        <v>-530.34332140948072</v>
      </c>
      <c r="AG113" s="43">
        <f>IF(C110&gt;0,L113,"")</f>
        <v>36.862682772104527</v>
      </c>
      <c r="AH113" s="43">
        <f>AH112</f>
        <v>300.34360198138137</v>
      </c>
      <c r="AI113" s="43">
        <f>-AI112</f>
        <v>-906.41522996686899</v>
      </c>
      <c r="AL113" s="9" t="s">
        <v>120</v>
      </c>
      <c r="AM113" s="43">
        <f>Panels!C61</f>
        <v>58.709464221163657</v>
      </c>
      <c r="AN113" s="43">
        <f>Panels!D61</f>
        <v>46.329287296147569</v>
      </c>
      <c r="AO113" s="43">
        <f>AM113+10*O4</f>
        <v>59.114462917067932</v>
      </c>
      <c r="AP113" s="43">
        <f>AN113+10*P4</f>
        <v>56.32108273322072</v>
      </c>
      <c r="AQ113" s="107">
        <f>IF(AO113&lt;&gt;AM113,(AP113-AN113)/(AO113-AM113),"")</f>
        <v>24.671179285561916</v>
      </c>
      <c r="AR113" s="107">
        <f>IF(AQ113&lt;&gt;"",(AP113*AM113-AN113*AO113)/(AM113-AO113),AM113)</f>
        <v>-1402.1024302634644</v>
      </c>
      <c r="AS113" s="43">
        <f>IF(AQ113&lt;&gt;"",(AR112-AR113)/(AQ113-AQ112),AM113)</f>
        <v>57.942042087469162</v>
      </c>
      <c r="AT113" s="43">
        <f>IF(AQ113&lt;&gt;"",AS113*AQ113+AR113,AN112)</f>
        <v>27.396078248061485</v>
      </c>
    </row>
    <row r="114" spans="1:46" s="12" customFormat="1" ht="11.25" x14ac:dyDescent="0.2">
      <c r="B114" s="9"/>
      <c r="C114" s="9"/>
      <c r="D114" s="127"/>
      <c r="E114" s="128"/>
      <c r="F114" s="128"/>
      <c r="G114" s="128"/>
      <c r="H114" s="128"/>
      <c r="I114" s="128"/>
      <c r="J114" s="128"/>
      <c r="K114" s="125">
        <f>K113</f>
        <v>58.325753154316409</v>
      </c>
      <c r="L114" s="125">
        <f>L113</f>
        <v>36.862682772104527</v>
      </c>
      <c r="M114" s="187">
        <f>((D112-D113)^2+(E112-E113)^2)^0.5</f>
        <v>18.948755673917297</v>
      </c>
      <c r="N114" s="125">
        <f>((I112-I109)^2+(J112-J109)^2)^0.5</f>
        <v>4.9944482034163293</v>
      </c>
      <c r="O114" s="125">
        <f>O111+N114</f>
        <v>305.33805018479768</v>
      </c>
      <c r="P114" s="156">
        <f>((D112-D113)^2+(E112-E113)^2)^0.5*Panels!$T$114</f>
        <v>1083.8688245480694</v>
      </c>
      <c r="S114" s="223">
        <f t="shared" si="104"/>
        <v>541.93441227403468</v>
      </c>
      <c r="T114" s="224">
        <f t="shared" si="105"/>
        <v>-541.93441227403468</v>
      </c>
      <c r="U114" s="229">
        <f t="shared" si="106"/>
        <v>0</v>
      </c>
      <c r="V114" s="221"/>
      <c r="W114" s="218">
        <f t="shared" si="107"/>
        <v>541.93441227403468</v>
      </c>
      <c r="X114" s="221"/>
      <c r="Y114" s="202">
        <f t="shared" si="120"/>
        <v>541.93441227403468</v>
      </c>
      <c r="Z114" s="203">
        <f t="shared" si="121"/>
        <v>-541.93441227403468</v>
      </c>
      <c r="AA114" s="221"/>
      <c r="AB114" s="202">
        <f t="shared" si="122"/>
        <v>541.93441227403468</v>
      </c>
      <c r="AC114" s="203">
        <f t="shared" si="111"/>
        <v>-541.93441227403468</v>
      </c>
      <c r="AD114" s="221"/>
      <c r="AE114" s="202">
        <f t="shared" si="123"/>
        <v>541.93441227403468</v>
      </c>
      <c r="AF114" s="203">
        <f t="shared" si="113"/>
        <v>-541.93441227403468</v>
      </c>
      <c r="AG114" s="43">
        <f>IF(C110&gt;0,L114,"")</f>
        <v>36.862682772104527</v>
      </c>
      <c r="AJ114" s="43">
        <f>AJ111+N114</f>
        <v>305.33805018479768</v>
      </c>
    </row>
    <row r="115" spans="1:46" s="12" customFormat="1" ht="11.25" x14ac:dyDescent="0.2">
      <c r="B115" s="9"/>
      <c r="C115" s="9"/>
      <c r="D115" s="112">
        <f>Panels!C45+(E115-E116)*O4</f>
        <v>68.377984272080923</v>
      </c>
      <c r="E115" s="113">
        <f>E113</f>
        <v>46.329287296147569</v>
      </c>
      <c r="F115" s="114"/>
      <c r="G115" s="110">
        <f>IF(Design!$H$19="x",D115,0)</f>
        <v>0</v>
      </c>
      <c r="H115" s="110">
        <f>IF(Design!$H$19="x",E115,0)</f>
        <v>0</v>
      </c>
      <c r="I115" s="113">
        <f>SUM(D115:D116)/2</f>
        <v>67.978741272311538</v>
      </c>
      <c r="J115" s="113">
        <f>SUM(E115:E116)/2</f>
        <v>36.471403707708696</v>
      </c>
      <c r="K115" s="110">
        <f>IF(Design!$H$18="x",I115,0)</f>
        <v>67.978741272311538</v>
      </c>
      <c r="L115" s="110">
        <f>IF(Design!$H$18="x",J115,0)</f>
        <v>36.471403707708696</v>
      </c>
      <c r="M115" s="120"/>
      <c r="N115" s="110">
        <f t="shared" ref="N115:P115" si="125">N114</f>
        <v>4.9944482034163293</v>
      </c>
      <c r="O115" s="110">
        <f t="shared" si="125"/>
        <v>305.33805018479768</v>
      </c>
      <c r="P115" s="154">
        <f t="shared" si="125"/>
        <v>1083.8688245480694</v>
      </c>
      <c r="S115" s="223">
        <f t="shared" si="104"/>
        <v>541.93441227403468</v>
      </c>
      <c r="T115" s="224">
        <f t="shared" si="105"/>
        <v>-541.93441227403468</v>
      </c>
      <c r="U115" s="229">
        <f t="shared" si="106"/>
        <v>0</v>
      </c>
      <c r="V115" s="221"/>
      <c r="W115" s="218">
        <f t="shared" si="107"/>
        <v>541.93441227403468</v>
      </c>
      <c r="X115" s="221"/>
      <c r="Y115" s="202">
        <f t="shared" ref="Y115:Y117" si="126">((_S5_-_S3_)*(O115-_L3_)/(_L5_-_L3_)+_S3_)/2</f>
        <v>541.93441227403468</v>
      </c>
      <c r="Z115" s="203">
        <f t="shared" ref="Z115:Z117" si="127">-Y115</f>
        <v>-541.93441227403468</v>
      </c>
      <c r="AA115" s="221"/>
      <c r="AB115" s="202">
        <f t="shared" si="122"/>
        <v>541.93441227403468</v>
      </c>
      <c r="AC115" s="203">
        <f t="shared" si="111"/>
        <v>-541.93441227403468</v>
      </c>
      <c r="AD115" s="221"/>
      <c r="AE115" s="202">
        <f t="shared" si="123"/>
        <v>541.93441227403468</v>
      </c>
      <c r="AF115" s="203">
        <f t="shared" si="113"/>
        <v>-541.93441227403468</v>
      </c>
      <c r="AG115" s="43">
        <f>IF(C113&gt;0,L115,"")</f>
        <v>36.471403707708696</v>
      </c>
      <c r="AH115" s="43">
        <f>O114</f>
        <v>305.33805018479768</v>
      </c>
      <c r="AI115" s="43">
        <f>$R$165/2</f>
        <v>906.41522996686899</v>
      </c>
      <c r="AJ115" s="43"/>
    </row>
    <row r="116" spans="1:46" s="12" customFormat="1" ht="11.25" x14ac:dyDescent="0.2">
      <c r="B116" s="9">
        <f t="shared" si="115"/>
        <v>17</v>
      </c>
      <c r="C116" s="38">
        <f>C113+1</f>
        <v>33</v>
      </c>
      <c r="D116" s="112">
        <f>Panels!C45</f>
        <v>67.579498272542139</v>
      </c>
      <c r="E116" s="113">
        <f>Panels!D45</f>
        <v>26.613520119269818</v>
      </c>
      <c r="F116" s="114"/>
      <c r="G116" s="113">
        <f>IF(Design!$H$19="x",D116,0)</f>
        <v>0</v>
      </c>
      <c r="H116" s="113">
        <f>IF(Design!$H$19="x",E116,0)</f>
        <v>0</v>
      </c>
      <c r="I116" s="114"/>
      <c r="J116" s="114"/>
      <c r="K116" s="113">
        <f>K115</f>
        <v>67.978741272311538</v>
      </c>
      <c r="L116" s="113">
        <f>L115</f>
        <v>36.471403707708696</v>
      </c>
      <c r="M116" s="118"/>
      <c r="N116" s="113">
        <f t="shared" ref="N116:P116" si="128">N115</f>
        <v>4.9944482034163293</v>
      </c>
      <c r="O116" s="113">
        <f t="shared" si="128"/>
        <v>305.33805018479768</v>
      </c>
      <c r="P116" s="155">
        <f t="shared" si="128"/>
        <v>1083.8688245480694</v>
      </c>
      <c r="Q116" s="43">
        <f>ATAN((E115-E116)/(D115-D116))*180/PI()</f>
        <v>87.680795864182585</v>
      </c>
      <c r="R116" s="43"/>
      <c r="S116" s="223">
        <f t="shared" si="104"/>
        <v>541.93441227403468</v>
      </c>
      <c r="T116" s="224">
        <f t="shared" si="105"/>
        <v>-541.93441227403468</v>
      </c>
      <c r="U116" s="229">
        <f t="shared" si="106"/>
        <v>0</v>
      </c>
      <c r="V116" s="221"/>
      <c r="W116" s="218">
        <f t="shared" si="107"/>
        <v>541.93441227403468</v>
      </c>
      <c r="X116" s="221"/>
      <c r="Y116" s="202">
        <f t="shared" si="126"/>
        <v>541.93441227403468</v>
      </c>
      <c r="Z116" s="203">
        <f t="shared" si="127"/>
        <v>-541.93441227403468</v>
      </c>
      <c r="AA116" s="221"/>
      <c r="AB116" s="202">
        <f t="shared" si="122"/>
        <v>541.93441227403468</v>
      </c>
      <c r="AC116" s="203">
        <f t="shared" si="111"/>
        <v>-541.93441227403468</v>
      </c>
      <c r="AD116" s="221"/>
      <c r="AE116" s="202">
        <f t="shared" si="123"/>
        <v>541.93441227403468</v>
      </c>
      <c r="AF116" s="203">
        <f t="shared" si="113"/>
        <v>-541.93441227403468</v>
      </c>
      <c r="AG116" s="43">
        <f>IF(C113&gt;0,L116,"")</f>
        <v>36.471403707708696</v>
      </c>
      <c r="AH116" s="43">
        <f>AH115</f>
        <v>305.33805018479768</v>
      </c>
      <c r="AI116" s="43">
        <f>-AI115</f>
        <v>-906.41522996686899</v>
      </c>
    </row>
    <row r="117" spans="1:46" s="12" customFormat="1" ht="11.25" x14ac:dyDescent="0.2">
      <c r="B117" s="9"/>
      <c r="C117" s="9"/>
      <c r="D117" s="127"/>
      <c r="E117" s="128"/>
      <c r="F117" s="128"/>
      <c r="G117" s="128"/>
      <c r="H117" s="128"/>
      <c r="I117" s="128"/>
      <c r="J117" s="128"/>
      <c r="K117" s="125">
        <f>K116</f>
        <v>67.978741272311538</v>
      </c>
      <c r="L117" s="125">
        <f>L116</f>
        <v>36.471403707708696</v>
      </c>
      <c r="M117" s="187">
        <f>((D115-D116)^2+(E115-E116)^2)^0.5</f>
        <v>19.731929841358891</v>
      </c>
      <c r="N117" s="125">
        <f>((I115-I112)^2+(J115-J112)^2)^0.5</f>
        <v>9.6609150142411266</v>
      </c>
      <c r="O117" s="125">
        <f>O114+N117</f>
        <v>314.99896519903882</v>
      </c>
      <c r="P117" s="156">
        <f>((D115-D116)^2+(E115-E116)^2)^0.5*Panels!$T$114</f>
        <v>1128.6663869257286</v>
      </c>
      <c r="S117" s="223">
        <f t="shared" si="104"/>
        <v>564.3331934628643</v>
      </c>
      <c r="T117" s="224">
        <f t="shared" si="105"/>
        <v>-564.3331934628643</v>
      </c>
      <c r="U117" s="229">
        <f t="shared" si="106"/>
        <v>-4.4445869900755497E-2</v>
      </c>
      <c r="V117" s="221"/>
      <c r="W117" s="218">
        <f t="shared" si="107"/>
        <v>564.35541639781468</v>
      </c>
      <c r="X117" s="221"/>
      <c r="Y117" s="202">
        <f t="shared" si="126"/>
        <v>564.35541639781468</v>
      </c>
      <c r="Z117" s="203">
        <f t="shared" si="127"/>
        <v>-564.35541639781468</v>
      </c>
      <c r="AA117" s="221"/>
      <c r="AB117" s="202">
        <f t="shared" si="122"/>
        <v>564.35541639781468</v>
      </c>
      <c r="AC117" s="203">
        <f t="shared" si="111"/>
        <v>-564.35541639781468</v>
      </c>
      <c r="AD117" s="221"/>
      <c r="AE117" s="202">
        <f t="shared" si="123"/>
        <v>564.35541639781468</v>
      </c>
      <c r="AF117" s="203">
        <f t="shared" si="113"/>
        <v>-564.35541639781468</v>
      </c>
      <c r="AG117" s="43">
        <f>IF(C113&gt;0,L117,"")</f>
        <v>36.471403707708696</v>
      </c>
      <c r="AJ117" s="43">
        <f>AJ114+N117</f>
        <v>314.99896519903882</v>
      </c>
    </row>
    <row r="118" spans="1:46" s="12" customFormat="1" ht="11.25" x14ac:dyDescent="0.2">
      <c r="B118" s="9"/>
      <c r="C118" s="9"/>
      <c r="D118" s="109">
        <f>(D115+Panels!C66)/2</f>
        <v>78.544813792379415</v>
      </c>
      <c r="E118" s="110">
        <f>E115</f>
        <v>46.329287296147569</v>
      </c>
      <c r="F118" s="111"/>
      <c r="G118" s="110">
        <f>IF(Design!$H$19="x",D118,0)</f>
        <v>0</v>
      </c>
      <c r="H118" s="110">
        <f>IF(Design!$H$19="x",E118,0)</f>
        <v>0</v>
      </c>
      <c r="I118" s="110">
        <f>SUM(D118:D119)/2</f>
        <v>73.062156032460777</v>
      </c>
      <c r="J118" s="110">
        <f>SUM(E118:E119)/2</f>
        <v>36.471403707708696</v>
      </c>
      <c r="K118" s="110">
        <f>IF(Design!$H$18="x",I118,0)</f>
        <v>73.062156032460777</v>
      </c>
      <c r="L118" s="110">
        <f>IF(Design!$H$18="x",J118,0)</f>
        <v>36.471403707708696</v>
      </c>
      <c r="M118" s="120"/>
      <c r="N118" s="110">
        <f t="shared" ref="N118:P118" si="129">N117</f>
        <v>9.6609150142411266</v>
      </c>
      <c r="O118" s="110">
        <f t="shared" si="129"/>
        <v>314.99896519903882</v>
      </c>
      <c r="P118" s="154">
        <f t="shared" si="129"/>
        <v>1128.6663869257286</v>
      </c>
      <c r="S118" s="223">
        <f t="shared" si="104"/>
        <v>564.3331934628643</v>
      </c>
      <c r="T118" s="224">
        <f t="shared" si="105"/>
        <v>-564.3331934628643</v>
      </c>
      <c r="U118" s="229">
        <f t="shared" si="106"/>
        <v>-4.4445869900755497E-2</v>
      </c>
      <c r="V118" s="221"/>
      <c r="W118" s="218">
        <f t="shared" si="107"/>
        <v>564.35541639781468</v>
      </c>
      <c r="X118" s="221"/>
      <c r="Y118" s="202">
        <f t="shared" ref="Y118:Y120" si="130">((_S5_-_S3_)*(O118-_L3_)/(_L5_-_L3_)+_S3_)/2</f>
        <v>564.35541639781468</v>
      </c>
      <c r="Z118" s="203">
        <f t="shared" ref="Z118:Z120" si="131">-Y118</f>
        <v>-564.35541639781468</v>
      </c>
      <c r="AA118" s="221"/>
      <c r="AB118" s="202">
        <f t="shared" si="122"/>
        <v>564.35541639781468</v>
      </c>
      <c r="AC118" s="203">
        <f t="shared" si="111"/>
        <v>-564.35541639781468</v>
      </c>
      <c r="AD118" s="221"/>
      <c r="AE118" s="202">
        <f t="shared" si="123"/>
        <v>564.35541639781468</v>
      </c>
      <c r="AF118" s="203">
        <f t="shared" si="113"/>
        <v>-564.35541639781468</v>
      </c>
      <c r="AG118" s="43">
        <f>IF(C116&gt;0,L118,"")</f>
        <v>36.471403707708696</v>
      </c>
      <c r="AH118" s="43">
        <f>O117</f>
        <v>314.99896519903882</v>
      </c>
      <c r="AI118" s="43">
        <f>$R$165/2</f>
        <v>906.41522996686899</v>
      </c>
      <c r="AJ118" s="43"/>
    </row>
    <row r="119" spans="1:46" s="12" customFormat="1" ht="11.25" x14ac:dyDescent="0.2">
      <c r="B119" s="9">
        <f t="shared" si="115"/>
        <v>16</v>
      </c>
      <c r="C119" s="38">
        <f>C116+1</f>
        <v>34</v>
      </c>
      <c r="D119" s="112">
        <f>D116</f>
        <v>67.579498272542139</v>
      </c>
      <c r="E119" s="113">
        <f>E116</f>
        <v>26.613520119269818</v>
      </c>
      <c r="F119" s="114"/>
      <c r="G119" s="113">
        <f>IF(Design!$H$19="x",D119,0)</f>
        <v>0</v>
      </c>
      <c r="H119" s="113">
        <f>IF(Design!$H$19="x",E119,0)</f>
        <v>0</v>
      </c>
      <c r="I119" s="116"/>
      <c r="J119" s="117"/>
      <c r="K119" s="113">
        <f>K118</f>
        <v>73.062156032460777</v>
      </c>
      <c r="L119" s="113">
        <f>L118</f>
        <v>36.471403707708696</v>
      </c>
      <c r="M119" s="118"/>
      <c r="N119" s="113">
        <f t="shared" ref="N119:P119" si="132">N118</f>
        <v>9.6609150142411266</v>
      </c>
      <c r="O119" s="113">
        <f t="shared" si="132"/>
        <v>314.99896519903882</v>
      </c>
      <c r="P119" s="155">
        <f t="shared" si="132"/>
        <v>1128.6663869257286</v>
      </c>
      <c r="Q119" s="43">
        <f>ATAN((E118-E119)/(D118-D119))*180/PI()</f>
        <v>60.918506945356881</v>
      </c>
      <c r="R119" s="43"/>
      <c r="S119" s="223">
        <f t="shared" si="104"/>
        <v>564.3331934628643</v>
      </c>
      <c r="T119" s="224">
        <f t="shared" si="105"/>
        <v>-564.3331934628643</v>
      </c>
      <c r="U119" s="229">
        <f t="shared" si="106"/>
        <v>-4.4445869900755497E-2</v>
      </c>
      <c r="V119" s="221"/>
      <c r="W119" s="218">
        <f t="shared" si="107"/>
        <v>564.35541639781468</v>
      </c>
      <c r="X119" s="221"/>
      <c r="Y119" s="202">
        <f t="shared" si="130"/>
        <v>564.35541639781468</v>
      </c>
      <c r="Z119" s="203">
        <f t="shared" si="131"/>
        <v>-564.35541639781468</v>
      </c>
      <c r="AA119" s="221"/>
      <c r="AB119" s="202">
        <f t="shared" si="122"/>
        <v>564.35541639781468</v>
      </c>
      <c r="AC119" s="203">
        <f t="shared" si="111"/>
        <v>-564.35541639781468</v>
      </c>
      <c r="AD119" s="221"/>
      <c r="AE119" s="202">
        <f t="shared" si="123"/>
        <v>564.35541639781468</v>
      </c>
      <c r="AF119" s="203">
        <f t="shared" si="113"/>
        <v>-564.35541639781468</v>
      </c>
      <c r="AG119" s="43">
        <f>IF(C116&gt;0,L119,"")</f>
        <v>36.471403707708696</v>
      </c>
      <c r="AH119" s="43">
        <f>AH118</f>
        <v>314.99896519903882</v>
      </c>
      <c r="AI119" s="43">
        <f>-AI118</f>
        <v>-906.41522996686899</v>
      </c>
    </row>
    <row r="120" spans="1:46" s="12" customFormat="1" ht="11.25" x14ac:dyDescent="0.2">
      <c r="B120" s="9"/>
      <c r="C120" s="9"/>
      <c r="D120" s="112"/>
      <c r="E120" s="113"/>
      <c r="F120" s="114"/>
      <c r="G120" s="113"/>
      <c r="H120" s="113"/>
      <c r="I120" s="116"/>
      <c r="J120" s="117"/>
      <c r="K120" s="125">
        <f>K119</f>
        <v>73.062156032460777</v>
      </c>
      <c r="L120" s="125">
        <f>L119</f>
        <v>36.471403707708696</v>
      </c>
      <c r="M120" s="187">
        <f>((D118-D119)^2+(E118-E119)^2)^0.5</f>
        <v>22.559911786672266</v>
      </c>
      <c r="N120" s="125">
        <f>((I118-I115)^2+(J118-J115)^2)^0.5</f>
        <v>5.083414760149239</v>
      </c>
      <c r="O120" s="125">
        <f>O117+N120</f>
        <v>320.08237995918807</v>
      </c>
      <c r="P120" s="156">
        <f>((D118-D119)^2+(E118-E119)^2)^0.5*Panels!$T$114</f>
        <v>1290.4269541976537</v>
      </c>
      <c r="S120" s="223">
        <f t="shared" si="104"/>
        <v>645.21347709882684</v>
      </c>
      <c r="T120" s="224">
        <f t="shared" si="105"/>
        <v>-645.21347709882684</v>
      </c>
      <c r="U120" s="229">
        <f t="shared" si="106"/>
        <v>138.12099337695031</v>
      </c>
      <c r="V120" s="221"/>
      <c r="W120" s="218">
        <f t="shared" si="107"/>
        <v>576.15298041035169</v>
      </c>
      <c r="X120" s="221"/>
      <c r="Y120" s="202">
        <f t="shared" si="130"/>
        <v>576.15298041035169</v>
      </c>
      <c r="Z120" s="203">
        <f t="shared" si="131"/>
        <v>-576.15298041035169</v>
      </c>
      <c r="AA120" s="221"/>
      <c r="AB120" s="202">
        <f t="shared" si="122"/>
        <v>576.15298041035169</v>
      </c>
      <c r="AC120" s="203">
        <f t="shared" si="111"/>
        <v>-576.15298041035169</v>
      </c>
      <c r="AD120" s="221"/>
      <c r="AE120" s="202">
        <f t="shared" si="123"/>
        <v>576.15298041035169</v>
      </c>
      <c r="AF120" s="203">
        <f t="shared" si="113"/>
        <v>-576.15298041035169</v>
      </c>
      <c r="AG120" s="43">
        <f>IF(C116&gt;0,L120,"")</f>
        <v>36.471403707708696</v>
      </c>
      <c r="AJ120" s="43">
        <f>AJ117+N120</f>
        <v>320.08237995918807</v>
      </c>
    </row>
    <row r="121" spans="1:46" s="12" customFormat="1" ht="11.25" x14ac:dyDescent="0.2">
      <c r="B121" s="9"/>
      <c r="C121" s="9"/>
      <c r="D121" s="109">
        <f>Panels!C66</f>
        <v>88.711643312677907</v>
      </c>
      <c r="E121" s="110">
        <f>(E118+E124)/2</f>
        <v>36.043479148562945</v>
      </c>
      <c r="F121" s="111"/>
      <c r="G121" s="110">
        <f>IF(Design!$H$19="x",D121,0)</f>
        <v>0</v>
      </c>
      <c r="H121" s="110">
        <f>IF(Design!$H$19="x",E121,0)</f>
        <v>0</v>
      </c>
      <c r="I121" s="110">
        <f>SUM(D121:D122)/2</f>
        <v>78.145570792610016</v>
      </c>
      <c r="J121" s="110">
        <f>SUM(E121:E122)/2</f>
        <v>31.32849963391638</v>
      </c>
      <c r="K121" s="110">
        <f>IF(Design!$H$18="x",I121,0)</f>
        <v>78.145570792610016</v>
      </c>
      <c r="L121" s="110">
        <f>IF(Design!$H$18="x",J121,0)</f>
        <v>31.32849963391638</v>
      </c>
      <c r="M121" s="120"/>
      <c r="N121" s="110">
        <f t="shared" ref="N121:P121" si="133">N120</f>
        <v>5.083414760149239</v>
      </c>
      <c r="O121" s="110">
        <f t="shared" si="133"/>
        <v>320.08237995918807</v>
      </c>
      <c r="P121" s="154">
        <f t="shared" si="133"/>
        <v>1290.4269541976537</v>
      </c>
      <c r="S121" s="223">
        <f t="shared" si="104"/>
        <v>645.21347709882684</v>
      </c>
      <c r="T121" s="224">
        <f t="shared" si="105"/>
        <v>-645.21347709882684</v>
      </c>
      <c r="U121" s="229">
        <f t="shared" si="106"/>
        <v>138.12099337695031</v>
      </c>
      <c r="V121" s="221"/>
      <c r="W121" s="218">
        <f t="shared" si="107"/>
        <v>576.15298041035169</v>
      </c>
      <c r="X121" s="221"/>
      <c r="Y121" s="202">
        <f t="shared" ref="Y121:Y123" si="134">((_S5_-_S3_)*(O121-_L3_)/(_L5_-_L3_)+_S3_)/2</f>
        <v>576.15298041035169</v>
      </c>
      <c r="Z121" s="203">
        <f t="shared" si="109"/>
        <v>-576.15298041035169</v>
      </c>
      <c r="AA121" s="221"/>
      <c r="AB121" s="202">
        <f t="shared" si="122"/>
        <v>576.15298041035169</v>
      </c>
      <c r="AC121" s="203">
        <f t="shared" si="111"/>
        <v>-576.15298041035169</v>
      </c>
      <c r="AD121" s="221"/>
      <c r="AE121" s="202">
        <f t="shared" si="123"/>
        <v>576.15298041035169</v>
      </c>
      <c r="AF121" s="203">
        <f t="shared" si="113"/>
        <v>-576.15298041035169</v>
      </c>
      <c r="AG121" s="43">
        <f>IF(C119&gt;0,L121,"")</f>
        <v>31.32849963391638</v>
      </c>
      <c r="AH121" s="43">
        <f>O120</f>
        <v>320.08237995918807</v>
      </c>
      <c r="AI121" s="43">
        <f>$R$165/2</f>
        <v>906.41522996686899</v>
      </c>
      <c r="AJ121" s="43"/>
    </row>
    <row r="122" spans="1:46" s="12" customFormat="1" ht="11.25" x14ac:dyDescent="0.2">
      <c r="B122" s="9">
        <f t="shared" si="115"/>
        <v>15</v>
      </c>
      <c r="C122" s="38">
        <f>C119+1</f>
        <v>35</v>
      </c>
      <c r="D122" s="112">
        <f>D119</f>
        <v>67.579498272542139</v>
      </c>
      <c r="E122" s="113">
        <f>E119</f>
        <v>26.613520119269818</v>
      </c>
      <c r="F122" s="114"/>
      <c r="G122" s="113">
        <f>IF(Design!$H$19="x",D122,0)</f>
        <v>0</v>
      </c>
      <c r="H122" s="113">
        <f>IF(Design!$H$19="x",E122,0)</f>
        <v>0</v>
      </c>
      <c r="I122" s="116"/>
      <c r="J122" s="117"/>
      <c r="K122" s="113">
        <f>K121</f>
        <v>78.145570792610016</v>
      </c>
      <c r="L122" s="113">
        <f>L121</f>
        <v>31.32849963391638</v>
      </c>
      <c r="M122" s="118"/>
      <c r="N122" s="113">
        <f t="shared" ref="N122:P122" si="135">N121</f>
        <v>5.083414760149239</v>
      </c>
      <c r="O122" s="113">
        <f t="shared" si="135"/>
        <v>320.08237995918807</v>
      </c>
      <c r="P122" s="155">
        <f t="shared" si="135"/>
        <v>1290.4269541976537</v>
      </c>
      <c r="Q122" s="43">
        <f>ATAN((E121-E122)/(D121-D122))*180/PI()</f>
        <v>24.048228291978486</v>
      </c>
      <c r="R122" s="43"/>
      <c r="S122" s="223">
        <f t="shared" si="104"/>
        <v>645.21347709882684</v>
      </c>
      <c r="T122" s="224">
        <f t="shared" si="105"/>
        <v>-645.21347709882684</v>
      </c>
      <c r="U122" s="229">
        <f t="shared" si="106"/>
        <v>138.12099337695031</v>
      </c>
      <c r="V122" s="221"/>
      <c r="W122" s="218">
        <f t="shared" si="107"/>
        <v>576.15298041035169</v>
      </c>
      <c r="X122" s="221"/>
      <c r="Y122" s="202">
        <f t="shared" si="134"/>
        <v>576.15298041035169</v>
      </c>
      <c r="Z122" s="203">
        <f t="shared" si="109"/>
        <v>-576.15298041035169</v>
      </c>
      <c r="AA122" s="221"/>
      <c r="AB122" s="202">
        <f t="shared" si="122"/>
        <v>576.15298041035169</v>
      </c>
      <c r="AC122" s="203">
        <f t="shared" si="111"/>
        <v>-576.15298041035169</v>
      </c>
      <c r="AD122" s="221"/>
      <c r="AE122" s="202">
        <f t="shared" si="123"/>
        <v>576.15298041035169</v>
      </c>
      <c r="AF122" s="203">
        <f t="shared" si="113"/>
        <v>-576.15298041035169</v>
      </c>
      <c r="AG122" s="43">
        <f>IF(C119&gt;0,L122,"")</f>
        <v>31.32849963391638</v>
      </c>
      <c r="AH122" s="43">
        <f>AH121</f>
        <v>320.08237995918807</v>
      </c>
      <c r="AI122" s="43">
        <f>-AI121</f>
        <v>-906.41522996686899</v>
      </c>
    </row>
    <row r="123" spans="1:46" s="12" customFormat="1" ht="11.25" x14ac:dyDescent="0.2">
      <c r="B123" s="9"/>
      <c r="C123" s="9"/>
      <c r="D123" s="127"/>
      <c r="E123" s="128"/>
      <c r="F123" s="128"/>
      <c r="G123" s="128"/>
      <c r="H123" s="128"/>
      <c r="I123" s="128"/>
      <c r="J123" s="128"/>
      <c r="K123" s="125">
        <f>K122</f>
        <v>78.145570792610016</v>
      </c>
      <c r="L123" s="125">
        <f>L122</f>
        <v>31.32849963391638</v>
      </c>
      <c r="M123" s="187">
        <f>((D121-D122)^2+(E121-E122)^2)^0.5</f>
        <v>23.140693189519663</v>
      </c>
      <c r="N123" s="125">
        <f>((I121-I118)^2+(J121-J118)^2)^0.5</f>
        <v>7.2312217457309895</v>
      </c>
      <c r="O123" s="125">
        <f>O120+N123</f>
        <v>327.31360170491905</v>
      </c>
      <c r="P123" s="156">
        <f>((D121-D122)^2+(E121-E122)^2)^0.5*Panels!$T$114</f>
        <v>1323.6476504405248</v>
      </c>
      <c r="S123" s="223">
        <f t="shared" si="104"/>
        <v>661.82382522026239</v>
      </c>
      <c r="T123" s="224">
        <f t="shared" si="105"/>
        <v>-661.82382522026239</v>
      </c>
      <c r="U123" s="229">
        <f t="shared" si="106"/>
        <v>137.77732178468273</v>
      </c>
      <c r="V123" s="221"/>
      <c r="W123" s="218">
        <f t="shared" si="107"/>
        <v>592.93516432792103</v>
      </c>
      <c r="X123" s="221"/>
      <c r="Y123" s="202">
        <f t="shared" si="134"/>
        <v>592.93516432792103</v>
      </c>
      <c r="Z123" s="203">
        <f t="shared" si="109"/>
        <v>-592.93516432792103</v>
      </c>
      <c r="AA123" s="221"/>
      <c r="AB123" s="202">
        <f t="shared" si="122"/>
        <v>592.93516432792103</v>
      </c>
      <c r="AC123" s="203">
        <f t="shared" si="111"/>
        <v>-592.93516432792103</v>
      </c>
      <c r="AD123" s="221"/>
      <c r="AE123" s="202">
        <f t="shared" si="123"/>
        <v>592.93516432792103</v>
      </c>
      <c r="AF123" s="203">
        <f t="shared" si="113"/>
        <v>-592.93516432792103</v>
      </c>
      <c r="AG123" s="43">
        <f>IF(C119&gt;0,L123,"")</f>
        <v>31.32849963391638</v>
      </c>
      <c r="AJ123" s="43">
        <f>AJ120+N123</f>
        <v>327.31360170491905</v>
      </c>
    </row>
    <row r="124" spans="1:46" s="12" customFormat="1" ht="11.25" x14ac:dyDescent="0.2">
      <c r="B124" s="9"/>
      <c r="C124" s="9"/>
      <c r="D124" s="112">
        <f>D121</f>
        <v>88.711643312677907</v>
      </c>
      <c r="E124" s="113">
        <f>E122-(D124-D125)*O4</f>
        <v>25.75767100097832</v>
      </c>
      <c r="F124" s="114"/>
      <c r="G124" s="110">
        <f>IF(Design!$H$19="x",D124,0)</f>
        <v>0</v>
      </c>
      <c r="H124" s="110">
        <f>IF(Design!$H$19="x",E124,0)</f>
        <v>0</v>
      </c>
      <c r="I124" s="113">
        <f>SUM(D124:D125)/2</f>
        <v>78.145570792610016</v>
      </c>
      <c r="J124" s="113">
        <f>SUM(E124:E125)/2</f>
        <v>26.185595560124071</v>
      </c>
      <c r="K124" s="110">
        <f>IF(Design!$H$18="x",I124,0)</f>
        <v>78.145570792610016</v>
      </c>
      <c r="L124" s="110">
        <f>IF(Design!$H$18="x",J124,0)</f>
        <v>26.185595560124071</v>
      </c>
      <c r="M124" s="120"/>
      <c r="N124" s="110">
        <f t="shared" ref="N124:P124" si="136">N123</f>
        <v>7.2312217457309895</v>
      </c>
      <c r="O124" s="110">
        <f t="shared" si="136"/>
        <v>327.31360170491905</v>
      </c>
      <c r="P124" s="154">
        <f t="shared" si="136"/>
        <v>1323.6476504405248</v>
      </c>
      <c r="S124" s="223">
        <f t="shared" si="104"/>
        <v>661.82382522026239</v>
      </c>
      <c r="T124" s="224">
        <f t="shared" si="105"/>
        <v>-661.82382522026239</v>
      </c>
      <c r="U124" s="229">
        <f t="shared" si="106"/>
        <v>137.77732178468273</v>
      </c>
      <c r="V124" s="221"/>
      <c r="W124" s="218">
        <f t="shared" si="107"/>
        <v>592.93516432792103</v>
      </c>
      <c r="X124" s="221"/>
      <c r="Y124" s="202">
        <f t="shared" ref="Y124:Y126" si="137">((_S5_-_S3_)*(O124-_L3_)/(_L5_-_L3_)+_S3_)/2</f>
        <v>592.93516432792103</v>
      </c>
      <c r="Z124" s="203">
        <f t="shared" si="109"/>
        <v>-592.93516432792103</v>
      </c>
      <c r="AA124" s="221"/>
      <c r="AB124" s="202">
        <f t="shared" si="122"/>
        <v>592.93516432792103</v>
      </c>
      <c r="AC124" s="203">
        <f t="shared" si="111"/>
        <v>-592.93516432792103</v>
      </c>
      <c r="AD124" s="221"/>
      <c r="AE124" s="202">
        <f t="shared" si="123"/>
        <v>592.93516432792103</v>
      </c>
      <c r="AF124" s="203">
        <f t="shared" si="113"/>
        <v>-592.93516432792103</v>
      </c>
      <c r="AG124" s="43">
        <f>IF(C122&gt;0,L124,"")</f>
        <v>26.185595560124071</v>
      </c>
      <c r="AH124" s="43">
        <f>O123</f>
        <v>327.31360170491905</v>
      </c>
      <c r="AI124" s="43">
        <f>$R$165/2</f>
        <v>906.41522996686899</v>
      </c>
      <c r="AJ124" s="43"/>
    </row>
    <row r="125" spans="1:46" s="12" customFormat="1" ht="11.25" x14ac:dyDescent="0.2">
      <c r="B125" s="9">
        <f t="shared" si="115"/>
        <v>14</v>
      </c>
      <c r="C125" s="38">
        <f>C122+1</f>
        <v>36</v>
      </c>
      <c r="D125" s="112">
        <f>D122</f>
        <v>67.579498272542139</v>
      </c>
      <c r="E125" s="113">
        <f>E122</f>
        <v>26.613520119269818</v>
      </c>
      <c r="F125" s="114"/>
      <c r="G125" s="113">
        <f>IF(Design!$H$19="x",D125,0)</f>
        <v>0</v>
      </c>
      <c r="H125" s="113">
        <f>IF(Design!$H$19="x",E125,0)</f>
        <v>0</v>
      </c>
      <c r="I125" s="116"/>
      <c r="J125" s="117"/>
      <c r="K125" s="113">
        <f>K124</f>
        <v>78.145570792610016</v>
      </c>
      <c r="L125" s="113">
        <f>L124</f>
        <v>26.185595560124071</v>
      </c>
      <c r="M125" s="118"/>
      <c r="N125" s="113">
        <f t="shared" ref="N125:P125" si="138">N124</f>
        <v>7.2312217457309895</v>
      </c>
      <c r="O125" s="113">
        <f t="shared" si="138"/>
        <v>327.31360170491905</v>
      </c>
      <c r="P125" s="155">
        <f t="shared" si="138"/>
        <v>1323.6476504405248</v>
      </c>
      <c r="Q125" s="43">
        <f>ATAN((E124-E125)/(D124-D125))*180/PI()</f>
        <v>-2.3192041358174218</v>
      </c>
      <c r="R125" s="43"/>
      <c r="S125" s="223">
        <f t="shared" si="104"/>
        <v>661.82382522026239</v>
      </c>
      <c r="T125" s="224">
        <f t="shared" si="105"/>
        <v>-661.82382522026239</v>
      </c>
      <c r="U125" s="229">
        <f t="shared" si="106"/>
        <v>137.77732178468273</v>
      </c>
      <c r="V125" s="221"/>
      <c r="W125" s="218">
        <f t="shared" si="107"/>
        <v>592.93516432792103</v>
      </c>
      <c r="X125" s="221"/>
      <c r="Y125" s="202">
        <f t="shared" si="137"/>
        <v>592.93516432792103</v>
      </c>
      <c r="Z125" s="203">
        <f t="shared" si="109"/>
        <v>-592.93516432792103</v>
      </c>
      <c r="AA125" s="221"/>
      <c r="AB125" s="202">
        <f t="shared" si="122"/>
        <v>592.93516432792103</v>
      </c>
      <c r="AC125" s="203">
        <f t="shared" si="111"/>
        <v>-592.93516432792103</v>
      </c>
      <c r="AD125" s="221"/>
      <c r="AE125" s="202">
        <f t="shared" si="123"/>
        <v>592.93516432792103</v>
      </c>
      <c r="AF125" s="203">
        <f t="shared" si="113"/>
        <v>-592.93516432792103</v>
      </c>
      <c r="AG125" s="43">
        <f>IF(C122&gt;0,L125,"")</f>
        <v>26.185595560124071</v>
      </c>
      <c r="AH125" s="43">
        <f>AH124</f>
        <v>327.31360170491905</v>
      </c>
      <c r="AI125" s="43">
        <f>-AI124</f>
        <v>-906.41522996686899</v>
      </c>
    </row>
    <row r="126" spans="1:46" s="12" customFormat="1" ht="11.25" x14ac:dyDescent="0.2">
      <c r="B126" s="9"/>
      <c r="C126" s="9"/>
      <c r="D126" s="126"/>
      <c r="E126" s="114"/>
      <c r="F126" s="114"/>
      <c r="G126" s="114"/>
      <c r="H126" s="114"/>
      <c r="I126" s="114"/>
      <c r="J126" s="114"/>
      <c r="K126" s="125">
        <f>K125</f>
        <v>78.145570792610016</v>
      </c>
      <c r="L126" s="125">
        <f>L125</f>
        <v>26.185595560124071</v>
      </c>
      <c r="M126" s="187">
        <f>((D124-D125)^2+(E124-E125)^2)^0.5</f>
        <v>21.149468828096254</v>
      </c>
      <c r="N126" s="125">
        <f>((I124-I121)^2+(J124-J121)^2)^0.5</f>
        <v>5.1429040737923088</v>
      </c>
      <c r="O126" s="125">
        <f>O123+N126</f>
        <v>332.45650577871135</v>
      </c>
      <c r="P126" s="156">
        <f>((D124-D125)^2+(E124-E125)^2)^0.5*Panels!$T$114</f>
        <v>1209.7496169671058</v>
      </c>
      <c r="S126" s="223">
        <f t="shared" si="104"/>
        <v>604.8748084835529</v>
      </c>
      <c r="T126" s="224">
        <f t="shared" si="105"/>
        <v>-604.8748084835529</v>
      </c>
      <c r="U126" s="229">
        <f t="shared" si="106"/>
        <v>8.03527224525169E-3</v>
      </c>
      <c r="V126" s="221"/>
      <c r="W126" s="218">
        <f t="shared" si="107"/>
        <v>604.87079084743027</v>
      </c>
      <c r="X126" s="221"/>
      <c r="Y126" s="202">
        <f t="shared" si="137"/>
        <v>604.87079084743027</v>
      </c>
      <c r="Z126" s="203">
        <f t="shared" si="109"/>
        <v>-604.87079084743027</v>
      </c>
      <c r="AA126" s="221"/>
      <c r="AB126" s="202">
        <f t="shared" si="122"/>
        <v>604.87079084743027</v>
      </c>
      <c r="AC126" s="203">
        <f t="shared" si="111"/>
        <v>-604.87079084743027</v>
      </c>
      <c r="AD126" s="221"/>
      <c r="AE126" s="202">
        <f t="shared" si="123"/>
        <v>604.87079084743027</v>
      </c>
      <c r="AF126" s="203">
        <f t="shared" si="113"/>
        <v>-604.87079084743027</v>
      </c>
      <c r="AG126" s="43">
        <f>IF(C122&gt;0,L126,"")</f>
        <v>26.185595560124071</v>
      </c>
      <c r="AJ126" s="43">
        <f>AJ123+N126</f>
        <v>332.45650577871135</v>
      </c>
    </row>
    <row r="127" spans="1:46" s="12" customFormat="1" ht="11.25" x14ac:dyDescent="0.2">
      <c r="B127" s="9"/>
      <c r="C127" s="9"/>
      <c r="D127" s="109">
        <f>(D124+D130)/2</f>
        <v>88.711643312677907</v>
      </c>
      <c r="E127" s="110">
        <f>Panels!D44-(D124-D125)*O4</f>
        <v>23.863903910838317</v>
      </c>
      <c r="F127" s="111"/>
      <c r="G127" s="110">
        <f>IF(Design!$H$19="x",D127,0)</f>
        <v>0</v>
      </c>
      <c r="H127" s="110">
        <f>IF(Design!$H$19="x",E127,0)</f>
        <v>0</v>
      </c>
      <c r="I127" s="110">
        <f>SUM(D127:D128)/2</f>
        <v>78.068684174296635</v>
      </c>
      <c r="J127" s="110">
        <f>SUM(E127:E128)/2</f>
        <v>24.291828469984068</v>
      </c>
      <c r="K127" s="110">
        <f>IF(Design!$H$18="x",I127,0)</f>
        <v>78.068684174296635</v>
      </c>
      <c r="L127" s="110">
        <f>IF(Design!$H$18="x",J127,0)</f>
        <v>24.291828469984068</v>
      </c>
      <c r="M127" s="120"/>
      <c r="N127" s="110">
        <f t="shared" ref="N127:P127" si="139">N126</f>
        <v>5.1429040737923088</v>
      </c>
      <c r="O127" s="110">
        <f t="shared" si="139"/>
        <v>332.45650577871135</v>
      </c>
      <c r="P127" s="154">
        <f t="shared" si="139"/>
        <v>1209.7496169671058</v>
      </c>
      <c r="S127" s="223">
        <f t="shared" si="104"/>
        <v>604.8748084835529</v>
      </c>
      <c r="T127" s="224">
        <f t="shared" si="105"/>
        <v>-604.8748084835529</v>
      </c>
      <c r="U127" s="229">
        <f t="shared" si="106"/>
        <v>8.03527224525169E-3</v>
      </c>
      <c r="V127" s="221"/>
      <c r="W127" s="218">
        <f t="shared" si="107"/>
        <v>604.87079084743027</v>
      </c>
      <c r="X127" s="221"/>
      <c r="Y127" s="202">
        <f t="shared" ref="Y127:Y129" si="140">((_S5_-_S3_)*(O127-_L3_)/(_L5_-_L3_)+_S3_)/2</f>
        <v>604.87079084743027</v>
      </c>
      <c r="Z127" s="203">
        <f t="shared" si="109"/>
        <v>-604.87079084743027</v>
      </c>
      <c r="AA127" s="221"/>
      <c r="AB127" s="202">
        <f t="shared" si="122"/>
        <v>604.87079084743027</v>
      </c>
      <c r="AC127" s="203">
        <f t="shared" si="111"/>
        <v>-604.87079084743027</v>
      </c>
      <c r="AD127" s="221"/>
      <c r="AE127" s="202">
        <f t="shared" si="123"/>
        <v>604.87079084743027</v>
      </c>
      <c r="AF127" s="203">
        <f t="shared" si="113"/>
        <v>-604.87079084743027</v>
      </c>
      <c r="AG127" s="43">
        <f>IF(C125&gt;0,L127,"")</f>
        <v>24.291828469984068</v>
      </c>
      <c r="AH127" s="43">
        <f>O126</f>
        <v>332.45650577871135</v>
      </c>
      <c r="AI127" s="43">
        <f>$R$165/2</f>
        <v>906.41522996686899</v>
      </c>
      <c r="AJ127" s="43"/>
    </row>
    <row r="128" spans="1:46" s="12" customFormat="1" ht="11.25" x14ac:dyDescent="0.2">
      <c r="B128" s="9">
        <f t="shared" si="115"/>
        <v>13</v>
      </c>
      <c r="C128" s="38">
        <f>C125+1</f>
        <v>37</v>
      </c>
      <c r="D128" s="112">
        <f>Panels!C44</f>
        <v>67.425725035915377</v>
      </c>
      <c r="E128" s="113">
        <f>Panels!D44</f>
        <v>24.719753029129816</v>
      </c>
      <c r="F128" s="114"/>
      <c r="G128" s="113">
        <f>IF(Design!$H$19="x",D128,0)</f>
        <v>0</v>
      </c>
      <c r="H128" s="113">
        <f>IF(Design!$H$19="x",E128,0)</f>
        <v>0</v>
      </c>
      <c r="I128" s="116"/>
      <c r="J128" s="117"/>
      <c r="K128" s="113">
        <f>K127</f>
        <v>78.068684174296635</v>
      </c>
      <c r="L128" s="113">
        <f>L127</f>
        <v>24.291828469984068</v>
      </c>
      <c r="M128" s="118"/>
      <c r="N128" s="113">
        <f t="shared" ref="N128:P128" si="141">N127</f>
        <v>5.1429040737923088</v>
      </c>
      <c r="O128" s="113">
        <f t="shared" si="141"/>
        <v>332.45650577871135</v>
      </c>
      <c r="P128" s="155">
        <f t="shared" si="141"/>
        <v>1209.7496169671058</v>
      </c>
      <c r="Q128" s="43">
        <f>ATAN((E127-E128)/(D127-D128))*180/PI()</f>
        <v>-2.3024678923793545</v>
      </c>
      <c r="R128" s="43"/>
      <c r="S128" s="223">
        <f t="shared" si="104"/>
        <v>604.8748084835529</v>
      </c>
      <c r="T128" s="224">
        <f t="shared" si="105"/>
        <v>-604.8748084835529</v>
      </c>
      <c r="U128" s="229">
        <f t="shared" si="106"/>
        <v>8.03527224525169E-3</v>
      </c>
      <c r="V128" s="221"/>
      <c r="W128" s="218">
        <f t="shared" si="107"/>
        <v>604.87079084743027</v>
      </c>
      <c r="X128" s="221"/>
      <c r="Y128" s="202">
        <f t="shared" si="140"/>
        <v>604.87079084743027</v>
      </c>
      <c r="Z128" s="203">
        <f t="shared" si="109"/>
        <v>-604.87079084743027</v>
      </c>
      <c r="AA128" s="221"/>
      <c r="AB128" s="202">
        <f t="shared" si="122"/>
        <v>604.87079084743027</v>
      </c>
      <c r="AC128" s="203">
        <f t="shared" si="111"/>
        <v>-604.87079084743027</v>
      </c>
      <c r="AD128" s="221"/>
      <c r="AE128" s="202">
        <f t="shared" si="123"/>
        <v>604.87079084743027</v>
      </c>
      <c r="AF128" s="203">
        <f t="shared" si="113"/>
        <v>-604.87079084743027</v>
      </c>
      <c r="AG128" s="43">
        <f>IF(C125&gt;0,L128,"")</f>
        <v>24.291828469984068</v>
      </c>
      <c r="AH128" s="43">
        <f>AH127</f>
        <v>332.45650577871135</v>
      </c>
      <c r="AI128" s="43">
        <f>-AI127</f>
        <v>-906.41522996686899</v>
      </c>
    </row>
    <row r="129" spans="1:36" s="12" customFormat="1" ht="11.25" x14ac:dyDescent="0.2">
      <c r="B129" s="9"/>
      <c r="C129" s="9"/>
      <c r="D129" s="127"/>
      <c r="E129" s="128"/>
      <c r="F129" s="128"/>
      <c r="G129" s="128"/>
      <c r="H129" s="128"/>
      <c r="I129" s="128"/>
      <c r="J129" s="128"/>
      <c r="K129" s="125">
        <f>K128</f>
        <v>78.068684174296635</v>
      </c>
      <c r="L129" s="125">
        <f>L128</f>
        <v>24.291828469984068</v>
      </c>
      <c r="M129" s="187">
        <f>((D127-D128)^2+(E127-E128)^2)^0.5</f>
        <v>21.303117016021233</v>
      </c>
      <c r="N129" s="125">
        <f>((I127-I124)^2+(J127-J124)^2)^0.5</f>
        <v>1.8953272392315266</v>
      </c>
      <c r="O129" s="125">
        <f>O126+N129</f>
        <v>334.35183301794285</v>
      </c>
      <c r="P129" s="156">
        <f>((D127-D128)^2+(E127-E128)^2)^0.5*Panels!$T$114</f>
        <v>1218.5382933164146</v>
      </c>
      <c r="S129" s="223">
        <f t="shared" si="104"/>
        <v>609.26914665820732</v>
      </c>
      <c r="T129" s="224">
        <f t="shared" si="105"/>
        <v>-609.26914665820732</v>
      </c>
      <c r="U129" s="229">
        <f t="shared" si="106"/>
        <v>-6.2067752537586784E-4</v>
      </c>
      <c r="V129" s="221"/>
      <c r="W129" s="218">
        <f t="shared" si="107"/>
        <v>609.26945699697001</v>
      </c>
      <c r="X129" s="221"/>
      <c r="Y129" s="202">
        <f t="shared" si="140"/>
        <v>609.26945699697001</v>
      </c>
      <c r="Z129" s="203">
        <f t="shared" si="109"/>
        <v>-609.26945699697001</v>
      </c>
      <c r="AA129" s="221"/>
      <c r="AB129" s="202">
        <f t="shared" si="122"/>
        <v>609.26945699697001</v>
      </c>
      <c r="AC129" s="203">
        <f t="shared" si="111"/>
        <v>-609.26945699697001</v>
      </c>
      <c r="AD129" s="221"/>
      <c r="AE129" s="202">
        <f t="shared" si="123"/>
        <v>609.26945699697001</v>
      </c>
      <c r="AF129" s="203">
        <f t="shared" si="113"/>
        <v>-609.26945699697001</v>
      </c>
      <c r="AG129" s="43">
        <f>IF(C125&gt;0,L129,"")</f>
        <v>24.291828469984068</v>
      </c>
      <c r="AJ129" s="43">
        <f>AJ126+N129</f>
        <v>334.35183301794285</v>
      </c>
    </row>
    <row r="130" spans="1:36" s="12" customFormat="1" ht="11.25" x14ac:dyDescent="0.2">
      <c r="B130" s="9"/>
      <c r="C130" s="9"/>
      <c r="D130" s="112">
        <f>D124</f>
        <v>88.711643312677907</v>
      </c>
      <c r="E130" s="113">
        <f>(E127+Panels!D25)/2</f>
        <v>12.881951955419158</v>
      </c>
      <c r="F130" s="114"/>
      <c r="G130" s="110">
        <f>IF(Design!$H$19="x",D130,0)</f>
        <v>0</v>
      </c>
      <c r="H130" s="110">
        <f>IF(Design!$H$19="x",E130,0)</f>
        <v>0</v>
      </c>
      <c r="I130" s="113">
        <f>SUM(D130:D131)/2</f>
        <v>78.068684174296635</v>
      </c>
      <c r="J130" s="113">
        <f>SUM(E130:E131)/2</f>
        <v>18.800852492274487</v>
      </c>
      <c r="K130" s="110">
        <f>IF(Design!$H$18="x",I130,0)</f>
        <v>78.068684174296635</v>
      </c>
      <c r="L130" s="110">
        <f>IF(Design!$H$18="x",J130,0)</f>
        <v>18.800852492274487</v>
      </c>
      <c r="M130" s="120"/>
      <c r="N130" s="110">
        <f t="shared" ref="N130:P130" si="142">N129</f>
        <v>1.8953272392315266</v>
      </c>
      <c r="O130" s="110">
        <f t="shared" si="142"/>
        <v>334.35183301794285</v>
      </c>
      <c r="P130" s="154">
        <f t="shared" si="142"/>
        <v>1218.5382933164146</v>
      </c>
      <c r="S130" s="223">
        <f t="shared" si="104"/>
        <v>609.26914665820732</v>
      </c>
      <c r="T130" s="224">
        <f t="shared" si="105"/>
        <v>-609.26914665820732</v>
      </c>
      <c r="U130" s="229">
        <f t="shared" si="106"/>
        <v>-6.2067752537586784E-4</v>
      </c>
      <c r="V130" s="221"/>
      <c r="W130" s="218">
        <f t="shared" si="107"/>
        <v>609.26945699697001</v>
      </c>
      <c r="X130" s="221"/>
      <c r="Y130" s="202">
        <f t="shared" ref="Y130:Y132" si="143">((_S5_-_S3_)*(O130-_L3_)/(_L5_-_L3_)+_S3_)/2</f>
        <v>609.26945699697001</v>
      </c>
      <c r="Z130" s="203">
        <f t="shared" si="109"/>
        <v>-609.26945699697001</v>
      </c>
      <c r="AA130" s="221"/>
      <c r="AB130" s="202">
        <f t="shared" si="122"/>
        <v>609.26945699697001</v>
      </c>
      <c r="AC130" s="203">
        <f t="shared" si="111"/>
        <v>-609.26945699697001</v>
      </c>
      <c r="AD130" s="221"/>
      <c r="AE130" s="202">
        <f t="shared" si="123"/>
        <v>609.26945699697001</v>
      </c>
      <c r="AF130" s="203">
        <f t="shared" si="113"/>
        <v>-609.26945699697001</v>
      </c>
      <c r="AG130" s="43">
        <f>IF(C128&gt;0,L130,"")</f>
        <v>18.800852492274487</v>
      </c>
      <c r="AH130" s="43">
        <f>O129</f>
        <v>334.35183301794285</v>
      </c>
      <c r="AI130" s="43">
        <f>$R$165/2</f>
        <v>906.41522996686899</v>
      </c>
      <c r="AJ130" s="43"/>
    </row>
    <row r="131" spans="1:36" s="12" customFormat="1" ht="11.25" x14ac:dyDescent="0.2">
      <c r="B131" s="9">
        <f t="shared" si="115"/>
        <v>12</v>
      </c>
      <c r="C131" s="38">
        <f>C128+1</f>
        <v>38</v>
      </c>
      <c r="D131" s="112">
        <f>Panels!C44</f>
        <v>67.425725035915377</v>
      </c>
      <c r="E131" s="113">
        <f>Panels!D44</f>
        <v>24.719753029129816</v>
      </c>
      <c r="F131" s="114"/>
      <c r="G131" s="113">
        <f>IF(Design!$H$19="x",D131,0)</f>
        <v>0</v>
      </c>
      <c r="H131" s="113">
        <f>IF(Design!$H$19="x",E131,0)</f>
        <v>0</v>
      </c>
      <c r="I131" s="116"/>
      <c r="J131" s="117"/>
      <c r="K131" s="113">
        <f>K130</f>
        <v>78.068684174296635</v>
      </c>
      <c r="L131" s="113">
        <f>L130</f>
        <v>18.800852492274487</v>
      </c>
      <c r="M131" s="118"/>
      <c r="N131" s="113">
        <f t="shared" ref="N131:P131" si="144">N130</f>
        <v>1.8953272392315266</v>
      </c>
      <c r="O131" s="113">
        <f t="shared" si="144"/>
        <v>334.35183301794285</v>
      </c>
      <c r="P131" s="155">
        <f t="shared" si="144"/>
        <v>1218.5382933164146</v>
      </c>
      <c r="Q131" s="43">
        <f>ATAN((E130-E131)/(D130-D131))*180/PI()</f>
        <v>-29.079878874862043</v>
      </c>
      <c r="R131" s="43"/>
      <c r="S131" s="223">
        <f t="shared" si="104"/>
        <v>609.26914665820732</v>
      </c>
      <c r="T131" s="224">
        <f t="shared" si="105"/>
        <v>-609.26914665820732</v>
      </c>
      <c r="U131" s="229">
        <f t="shared" si="106"/>
        <v>-6.2067752537586784E-4</v>
      </c>
      <c r="V131" s="221"/>
      <c r="W131" s="218">
        <f t="shared" si="107"/>
        <v>609.26945699697001</v>
      </c>
      <c r="X131" s="221"/>
      <c r="Y131" s="202">
        <f t="shared" si="143"/>
        <v>609.26945699697001</v>
      </c>
      <c r="Z131" s="203">
        <f t="shared" si="109"/>
        <v>-609.26945699697001</v>
      </c>
      <c r="AA131" s="221"/>
      <c r="AB131" s="202">
        <f t="shared" si="122"/>
        <v>609.26945699697001</v>
      </c>
      <c r="AC131" s="203">
        <f t="shared" si="111"/>
        <v>-609.26945699697001</v>
      </c>
      <c r="AD131" s="221"/>
      <c r="AE131" s="202">
        <f t="shared" si="123"/>
        <v>609.26945699697001</v>
      </c>
      <c r="AF131" s="203">
        <f t="shared" si="113"/>
        <v>-609.26945699697001</v>
      </c>
      <c r="AG131" s="43">
        <f>IF(C128&gt;0,L131,"")</f>
        <v>18.800852492274487</v>
      </c>
      <c r="AH131" s="43">
        <f>AH130</f>
        <v>334.35183301794285</v>
      </c>
      <c r="AI131" s="43">
        <f>-AI130</f>
        <v>-906.41522996686899</v>
      </c>
    </row>
    <row r="132" spans="1:36" s="12" customFormat="1" ht="11.25" x14ac:dyDescent="0.2">
      <c r="B132" s="9"/>
      <c r="C132" s="9"/>
      <c r="D132" s="126"/>
      <c r="E132" s="114"/>
      <c r="F132" s="114"/>
      <c r="G132" s="114"/>
      <c r="H132" s="114"/>
      <c r="I132" s="114"/>
      <c r="J132" s="114"/>
      <c r="K132" s="125">
        <f>K131</f>
        <v>78.068684174296635</v>
      </c>
      <c r="L132" s="125">
        <f>L131</f>
        <v>18.800852492274487</v>
      </c>
      <c r="M132" s="187">
        <f>((D130-D131)^2+(E130-E131)^2)^0.5</f>
        <v>24.356187122490219</v>
      </c>
      <c r="N132" s="125">
        <f>((I130-I127)^2+(J130-J127)^2)^0.5</f>
        <v>5.4909759777095815</v>
      </c>
      <c r="O132" s="125">
        <f>O129+N132</f>
        <v>339.84280899565243</v>
      </c>
      <c r="P132" s="156">
        <f>((D130-D131)^2+(E130-E131)^2)^0.5*Panels!$T$114</f>
        <v>1393.1739034064406</v>
      </c>
      <c r="S132" s="223">
        <f t="shared" si="104"/>
        <v>696.58695170322028</v>
      </c>
      <c r="T132" s="224">
        <f t="shared" si="105"/>
        <v>-696.58695170322028</v>
      </c>
      <c r="U132" s="229">
        <f t="shared" si="106"/>
        <v>149.14812924277089</v>
      </c>
      <c r="V132" s="221"/>
      <c r="W132" s="218">
        <f t="shared" si="107"/>
        <v>622.01288708183483</v>
      </c>
      <c r="X132" s="221"/>
      <c r="Y132" s="202">
        <f t="shared" si="143"/>
        <v>622.01288708183483</v>
      </c>
      <c r="Z132" s="203">
        <f t="shared" si="109"/>
        <v>-622.01288708183483</v>
      </c>
      <c r="AA132" s="221"/>
      <c r="AB132" s="202">
        <f t="shared" si="122"/>
        <v>622.01288708183483</v>
      </c>
      <c r="AC132" s="203">
        <f t="shared" si="111"/>
        <v>-622.01288708183483</v>
      </c>
      <c r="AD132" s="221"/>
      <c r="AE132" s="202">
        <f t="shared" si="123"/>
        <v>622.01288708183483</v>
      </c>
      <c r="AF132" s="203">
        <f t="shared" si="113"/>
        <v>-622.01288708183483</v>
      </c>
      <c r="AG132" s="43">
        <f>IF(C128&gt;0,L132,"")</f>
        <v>18.800852492274487</v>
      </c>
      <c r="AJ132" s="43">
        <f>AJ129+N132</f>
        <v>339.84280899565243</v>
      </c>
    </row>
    <row r="133" spans="1:36" s="12" customFormat="1" ht="11.25" x14ac:dyDescent="0.2">
      <c r="B133" s="9"/>
      <c r="C133" s="9"/>
      <c r="D133" s="109">
        <f>(D134+D130)/2</f>
        <v>78.068684174296635</v>
      </c>
      <c r="E133" s="110">
        <f>Panels!D25</f>
        <v>1.9</v>
      </c>
      <c r="F133" s="111"/>
      <c r="G133" s="110">
        <f>IF(Design!$H$19="x",D133,0)</f>
        <v>0</v>
      </c>
      <c r="H133" s="110">
        <f>IF(Design!$H$19="x",E133,0)</f>
        <v>0</v>
      </c>
      <c r="I133" s="110">
        <f>SUM(D133:D134)/2</f>
        <v>72.747204605106006</v>
      </c>
      <c r="J133" s="110">
        <f>SUM(E133:E134)/2</f>
        <v>13.309876514564907</v>
      </c>
      <c r="K133" s="110">
        <f>IF(Design!$H$18="x",I133,0)</f>
        <v>72.747204605106006</v>
      </c>
      <c r="L133" s="110">
        <f>IF(Design!$H$18="x",J133,0)</f>
        <v>13.309876514564907</v>
      </c>
      <c r="M133" s="120"/>
      <c r="N133" s="110">
        <f t="shared" ref="N133:P133" si="145">N132</f>
        <v>5.4909759777095815</v>
      </c>
      <c r="O133" s="110">
        <f t="shared" si="145"/>
        <v>339.84280899565243</v>
      </c>
      <c r="P133" s="154">
        <f t="shared" si="145"/>
        <v>1393.1739034064406</v>
      </c>
      <c r="S133" s="223">
        <f t="shared" si="104"/>
        <v>696.58695170322028</v>
      </c>
      <c r="T133" s="224">
        <f t="shared" si="105"/>
        <v>-696.58695170322028</v>
      </c>
      <c r="U133" s="229">
        <f t="shared" si="106"/>
        <v>149.14812924277089</v>
      </c>
      <c r="V133" s="221"/>
      <c r="W133" s="218">
        <f t="shared" si="107"/>
        <v>622.01288708183483</v>
      </c>
      <c r="X133" s="221"/>
      <c r="Y133" s="202">
        <f t="shared" ref="Y133:Y135" si="146">((_S5_-_S3_)*(O133-_L3_)/(_L5_-_L3_)+_S3_)/2</f>
        <v>622.01288708183483</v>
      </c>
      <c r="Z133" s="203">
        <f t="shared" si="109"/>
        <v>-622.01288708183483</v>
      </c>
      <c r="AA133" s="221"/>
      <c r="AB133" s="202">
        <f t="shared" si="122"/>
        <v>622.01288708183483</v>
      </c>
      <c r="AC133" s="203">
        <f t="shared" si="111"/>
        <v>-622.01288708183483</v>
      </c>
      <c r="AD133" s="221"/>
      <c r="AE133" s="202">
        <f t="shared" si="123"/>
        <v>622.01288708183483</v>
      </c>
      <c r="AF133" s="203">
        <f t="shared" si="113"/>
        <v>-622.01288708183483</v>
      </c>
      <c r="AG133" s="43">
        <f>IF(C131&gt;0,L133,"")</f>
        <v>13.309876514564907</v>
      </c>
      <c r="AH133" s="43">
        <f>O132</f>
        <v>339.84280899565243</v>
      </c>
      <c r="AI133" s="43">
        <f>$R$165/2</f>
        <v>906.41522996686899</v>
      </c>
      <c r="AJ133" s="43"/>
    </row>
    <row r="134" spans="1:36" s="12" customFormat="1" ht="11.25" x14ac:dyDescent="0.2">
      <c r="A134" s="9"/>
      <c r="B134" s="9">
        <f t="shared" si="115"/>
        <v>11</v>
      </c>
      <c r="C134" s="38">
        <f>C131+1</f>
        <v>39</v>
      </c>
      <c r="D134" s="112">
        <f>D131</f>
        <v>67.425725035915377</v>
      </c>
      <c r="E134" s="113">
        <f>E131</f>
        <v>24.719753029129816</v>
      </c>
      <c r="F134" s="114"/>
      <c r="G134" s="113">
        <f>IF(Design!$H$19="x",D134,0)</f>
        <v>0</v>
      </c>
      <c r="H134" s="113">
        <f>IF(Design!$H$19="x",E134,0)</f>
        <v>0</v>
      </c>
      <c r="I134" s="116"/>
      <c r="J134" s="117"/>
      <c r="K134" s="113">
        <f>K133</f>
        <v>72.747204605106006</v>
      </c>
      <c r="L134" s="113">
        <f>L133</f>
        <v>13.309876514564907</v>
      </c>
      <c r="M134" s="118"/>
      <c r="N134" s="113">
        <f t="shared" ref="N134:P134" si="147">N133</f>
        <v>5.4909759777095815</v>
      </c>
      <c r="O134" s="113">
        <f t="shared" si="147"/>
        <v>339.84280899565243</v>
      </c>
      <c r="P134" s="155">
        <f t="shared" si="147"/>
        <v>1393.1739034064406</v>
      </c>
      <c r="Q134" s="43">
        <f>ATAN((E133-E134)/(D133-D134))*180/PI()</f>
        <v>-64.996012478747502</v>
      </c>
      <c r="R134" s="43"/>
      <c r="S134" s="223">
        <f t="shared" si="104"/>
        <v>696.58695170322028</v>
      </c>
      <c r="T134" s="224">
        <f t="shared" si="105"/>
        <v>-696.58695170322028</v>
      </c>
      <c r="U134" s="229">
        <f t="shared" si="106"/>
        <v>149.14812924277089</v>
      </c>
      <c r="V134" s="221"/>
      <c r="W134" s="218">
        <f t="shared" si="107"/>
        <v>622.01288708183483</v>
      </c>
      <c r="X134" s="221"/>
      <c r="Y134" s="202">
        <f t="shared" si="146"/>
        <v>622.01288708183483</v>
      </c>
      <c r="Z134" s="203">
        <f t="shared" si="109"/>
        <v>-622.01288708183483</v>
      </c>
      <c r="AA134" s="221"/>
      <c r="AB134" s="202">
        <f t="shared" si="122"/>
        <v>622.01288708183483</v>
      </c>
      <c r="AC134" s="203">
        <f t="shared" si="111"/>
        <v>-622.01288708183483</v>
      </c>
      <c r="AD134" s="221"/>
      <c r="AE134" s="202">
        <f t="shared" si="123"/>
        <v>622.01288708183483</v>
      </c>
      <c r="AF134" s="203">
        <f t="shared" si="113"/>
        <v>-622.01288708183483</v>
      </c>
      <c r="AG134" s="43">
        <f>IF(C131&gt;0,L134,"")</f>
        <v>13.309876514564907</v>
      </c>
      <c r="AH134" s="43">
        <f>AH133</f>
        <v>339.84280899565243</v>
      </c>
      <c r="AI134" s="43">
        <f>-AI133</f>
        <v>-906.41522996686899</v>
      </c>
    </row>
    <row r="135" spans="1:36" s="12" customFormat="1" ht="11.25" x14ac:dyDescent="0.2">
      <c r="B135" s="9"/>
      <c r="C135" s="9"/>
      <c r="D135" s="127"/>
      <c r="E135" s="128"/>
      <c r="F135" s="128"/>
      <c r="G135" s="128"/>
      <c r="H135" s="128"/>
      <c r="I135" s="128"/>
      <c r="J135" s="128"/>
      <c r="K135" s="125">
        <f>K134</f>
        <v>72.747204605106006</v>
      </c>
      <c r="L135" s="125">
        <f>L134</f>
        <v>13.309876514564907</v>
      </c>
      <c r="M135" s="187">
        <f>((D133-D134)^2+(E133-E134)^2)^0.5</f>
        <v>25.179628820372482</v>
      </c>
      <c r="N135" s="125">
        <f>((I133-I130)^2+(J133-J130)^2)^0.5</f>
        <v>7.6464999832012657</v>
      </c>
      <c r="O135" s="125">
        <f>O132+N135</f>
        <v>347.48930897885367</v>
      </c>
      <c r="P135" s="156">
        <f>((D133-D134)^2+(E133-E134)^2)^0.5*Panels!$T$114</f>
        <v>1440.2747685253059</v>
      </c>
      <c r="S135" s="223">
        <f t="shared" si="104"/>
        <v>720.13738426265297</v>
      </c>
      <c r="T135" s="224">
        <f t="shared" si="105"/>
        <v>-720.13738426265297</v>
      </c>
      <c r="U135" s="229">
        <f t="shared" si="106"/>
        <v>160.75707513801922</v>
      </c>
      <c r="V135" s="221"/>
      <c r="W135" s="218">
        <f t="shared" si="107"/>
        <v>639.75884669364336</v>
      </c>
      <c r="X135" s="221"/>
      <c r="Y135" s="202">
        <f t="shared" si="146"/>
        <v>639.75884669364336</v>
      </c>
      <c r="Z135" s="203">
        <f t="shared" si="109"/>
        <v>-639.75884669364336</v>
      </c>
      <c r="AA135" s="221"/>
      <c r="AB135" s="202">
        <f t="shared" si="122"/>
        <v>639.75884669364336</v>
      </c>
      <c r="AC135" s="203">
        <f t="shared" si="111"/>
        <v>-639.75884669364336</v>
      </c>
      <c r="AD135" s="221"/>
      <c r="AE135" s="202">
        <f t="shared" si="123"/>
        <v>639.75884669364336</v>
      </c>
      <c r="AF135" s="203">
        <f t="shared" si="113"/>
        <v>-639.75884669364336</v>
      </c>
      <c r="AG135" s="43">
        <f>IF(C131&gt;0,L135,"")</f>
        <v>13.309876514564907</v>
      </c>
      <c r="AJ135" s="43">
        <f>AJ132+N135</f>
        <v>347.48930897885367</v>
      </c>
    </row>
    <row r="136" spans="1:36" s="12" customFormat="1" ht="11.25" x14ac:dyDescent="0.2">
      <c r="B136" s="9"/>
      <c r="C136" s="9"/>
      <c r="D136" s="112">
        <f>D134</f>
        <v>67.425725035915377</v>
      </c>
      <c r="E136" s="113">
        <f>E134</f>
        <v>24.719753029129816</v>
      </c>
      <c r="F136" s="114"/>
      <c r="G136" s="110">
        <f>IF(Design!$H$19="x",D136,0)</f>
        <v>0</v>
      </c>
      <c r="H136" s="110">
        <f>IF(Design!$H$19="x",E136,0)</f>
        <v>0</v>
      </c>
      <c r="I136" s="113">
        <f>SUM(D136:D137)/2</f>
        <v>66.963626525032623</v>
      </c>
      <c r="J136" s="113">
        <f>SUM(E136:E137)/2</f>
        <v>13.309876514564907</v>
      </c>
      <c r="K136" s="110">
        <f>IF(Design!$H$18="x",I136,0)</f>
        <v>66.963626525032623</v>
      </c>
      <c r="L136" s="110">
        <f>IF(Design!$H$18="x",J136,0)</f>
        <v>13.309876514564907</v>
      </c>
      <c r="M136" s="120"/>
      <c r="N136" s="110">
        <f t="shared" ref="N136:P136" si="148">N135</f>
        <v>7.6464999832012657</v>
      </c>
      <c r="O136" s="110">
        <f t="shared" si="148"/>
        <v>347.48930897885367</v>
      </c>
      <c r="P136" s="154">
        <f t="shared" si="148"/>
        <v>1440.2747685253059</v>
      </c>
      <c r="S136" s="223">
        <f t="shared" si="104"/>
        <v>720.13738426265297</v>
      </c>
      <c r="T136" s="224">
        <f t="shared" si="105"/>
        <v>-720.13738426265297</v>
      </c>
      <c r="U136" s="229">
        <f t="shared" si="106"/>
        <v>160.75707513801922</v>
      </c>
      <c r="V136" s="221"/>
      <c r="W136" s="218">
        <f t="shared" si="107"/>
        <v>639.75884669364336</v>
      </c>
      <c r="X136" s="221"/>
      <c r="Y136" s="202">
        <f t="shared" ref="Y136:Y138" si="149">((_S5_-_S3_)*(O136-_L3_)/(_L5_-_L3_)+_S3_)/2</f>
        <v>639.75884669364336</v>
      </c>
      <c r="Z136" s="203">
        <f t="shared" si="109"/>
        <v>-639.75884669364336</v>
      </c>
      <c r="AA136" s="221"/>
      <c r="AB136" s="202">
        <f t="shared" si="122"/>
        <v>639.75884669364336</v>
      </c>
      <c r="AC136" s="203">
        <f t="shared" si="111"/>
        <v>-639.75884669364336</v>
      </c>
      <c r="AD136" s="221"/>
      <c r="AE136" s="202">
        <f t="shared" si="123"/>
        <v>639.75884669364336</v>
      </c>
      <c r="AF136" s="203">
        <f t="shared" si="113"/>
        <v>-639.75884669364336</v>
      </c>
      <c r="AG136" s="43">
        <f>IF(C134&gt;0,L136,"")</f>
        <v>13.309876514564907</v>
      </c>
      <c r="AH136" s="43">
        <f>O135</f>
        <v>347.48930897885367</v>
      </c>
      <c r="AI136" s="43">
        <f>$R$165/2</f>
        <v>906.41522996686899</v>
      </c>
      <c r="AJ136" s="43"/>
    </row>
    <row r="137" spans="1:36" s="12" customFormat="1" ht="11.25" x14ac:dyDescent="0.2">
      <c r="B137" s="9">
        <f t="shared" si="115"/>
        <v>10</v>
      </c>
      <c r="C137" s="38">
        <f>C134+1</f>
        <v>40</v>
      </c>
      <c r="D137" s="112">
        <f>D134-(E136-E137)*O4</f>
        <v>66.501528014149855</v>
      </c>
      <c r="E137" s="113">
        <f>E133</f>
        <v>1.9</v>
      </c>
      <c r="F137" s="114"/>
      <c r="G137" s="113">
        <f>IF(Design!$H$19="x",D137,0)</f>
        <v>0</v>
      </c>
      <c r="H137" s="113">
        <f>IF(Design!$H$19="x",E137,0)</f>
        <v>0</v>
      </c>
      <c r="I137" s="116"/>
      <c r="J137" s="117"/>
      <c r="K137" s="113">
        <f>K136</f>
        <v>66.963626525032623</v>
      </c>
      <c r="L137" s="113">
        <f>L136</f>
        <v>13.309876514564907</v>
      </c>
      <c r="M137" s="118"/>
      <c r="N137" s="113">
        <f t="shared" ref="N137:P137" si="150">N136</f>
        <v>7.6464999832012657</v>
      </c>
      <c r="O137" s="113">
        <f t="shared" si="150"/>
        <v>347.48930897885367</v>
      </c>
      <c r="P137" s="155">
        <f t="shared" si="150"/>
        <v>1440.2747685253059</v>
      </c>
      <c r="Q137" s="43">
        <f>ATAN((E136-E137)/(D136-D137))*180/PI()</f>
        <v>87.680795864182585</v>
      </c>
      <c r="R137" s="43"/>
      <c r="S137" s="223">
        <f t="shared" si="104"/>
        <v>720.13738426265297</v>
      </c>
      <c r="T137" s="224">
        <f t="shared" si="105"/>
        <v>-720.13738426265297</v>
      </c>
      <c r="U137" s="229">
        <f t="shared" si="106"/>
        <v>160.75707513801922</v>
      </c>
      <c r="V137" s="221"/>
      <c r="W137" s="218">
        <f t="shared" si="107"/>
        <v>639.75884669364336</v>
      </c>
      <c r="X137" s="221"/>
      <c r="Y137" s="202">
        <f t="shared" si="149"/>
        <v>639.75884669364336</v>
      </c>
      <c r="Z137" s="203">
        <f t="shared" si="109"/>
        <v>-639.75884669364336</v>
      </c>
      <c r="AA137" s="221"/>
      <c r="AB137" s="202">
        <f t="shared" si="122"/>
        <v>639.75884669364336</v>
      </c>
      <c r="AC137" s="203">
        <f t="shared" si="111"/>
        <v>-639.75884669364336</v>
      </c>
      <c r="AD137" s="221"/>
      <c r="AE137" s="202">
        <f t="shared" si="123"/>
        <v>639.75884669364336</v>
      </c>
      <c r="AF137" s="203">
        <f t="shared" si="113"/>
        <v>-639.75884669364336</v>
      </c>
      <c r="AG137" s="43">
        <f>IF(C134&gt;0,L137,"")</f>
        <v>13.309876514564907</v>
      </c>
      <c r="AH137" s="43">
        <f>AH136</f>
        <v>347.48930897885367</v>
      </c>
      <c r="AI137" s="43">
        <f>-AI136</f>
        <v>-906.41522996686899</v>
      </c>
    </row>
    <row r="138" spans="1:36" s="12" customFormat="1" ht="11.25" x14ac:dyDescent="0.2">
      <c r="B138" s="9"/>
      <c r="C138" s="9"/>
      <c r="D138" s="126"/>
      <c r="E138" s="114"/>
      <c r="F138" s="114"/>
      <c r="G138" s="114"/>
      <c r="H138" s="114"/>
      <c r="I138" s="114"/>
      <c r="J138" s="114"/>
      <c r="K138" s="125">
        <f>K137</f>
        <v>66.963626525032623</v>
      </c>
      <c r="L138" s="125">
        <f>L137</f>
        <v>13.309876514564907</v>
      </c>
      <c r="M138" s="187">
        <f>((D136-D137)^2+(E136-E137)^2)^0.5</f>
        <v>22.838460290604523</v>
      </c>
      <c r="N138" s="125">
        <f>((I136-I133)^2+(J136-J133)^2)^0.5</f>
        <v>5.7835780800733829</v>
      </c>
      <c r="O138" s="125">
        <f>O135+N138</f>
        <v>353.27288705892704</v>
      </c>
      <c r="P138" s="156">
        <f>((D136-D137)^2+(E136-E137)^2)^0.5*Panels!$T$114</f>
        <v>1306.3599286225788</v>
      </c>
      <c r="S138" s="223">
        <f t="shared" si="104"/>
        <v>653.17996431128938</v>
      </c>
      <c r="T138" s="224">
        <f t="shared" si="105"/>
        <v>-653.17996431128938</v>
      </c>
      <c r="U138" s="229">
        <f t="shared" si="106"/>
        <v>-2.7639790425837418E-3</v>
      </c>
      <c r="V138" s="221"/>
      <c r="W138" s="218">
        <f t="shared" si="107"/>
        <v>653.18134630081067</v>
      </c>
      <c r="X138" s="221"/>
      <c r="Y138" s="202">
        <f t="shared" si="149"/>
        <v>653.18134630081067</v>
      </c>
      <c r="Z138" s="203">
        <f t="shared" si="109"/>
        <v>-653.18134630081067</v>
      </c>
      <c r="AA138" s="221"/>
      <c r="AB138" s="202">
        <f t="shared" si="122"/>
        <v>653.18134630081067</v>
      </c>
      <c r="AC138" s="203">
        <f t="shared" si="111"/>
        <v>-653.18134630081067</v>
      </c>
      <c r="AD138" s="221"/>
      <c r="AE138" s="202">
        <f t="shared" si="123"/>
        <v>653.18134630081067</v>
      </c>
      <c r="AF138" s="203">
        <f t="shared" si="113"/>
        <v>-653.18134630081067</v>
      </c>
      <c r="AG138" s="43">
        <f>IF(C134&gt;0,L138,"")</f>
        <v>13.309876514564907</v>
      </c>
      <c r="AJ138" s="43">
        <f>AJ135+N138</f>
        <v>353.27288705892704</v>
      </c>
    </row>
    <row r="139" spans="1:36" s="12" customFormat="1" ht="11.25" x14ac:dyDescent="0.2">
      <c r="B139" s="9"/>
      <c r="C139" s="9"/>
      <c r="D139" s="109">
        <f>Panels!C43</f>
        <v>29.659082142302488</v>
      </c>
      <c r="E139" s="110">
        <f>Panels!D43</f>
        <v>27.786391447610647</v>
      </c>
      <c r="F139" s="111"/>
      <c r="G139" s="110">
        <f>IF(Design!$H$19="x",D139,0)</f>
        <v>0</v>
      </c>
      <c r="H139" s="110">
        <f>IF(Design!$H$19="x",E139,0)</f>
        <v>0</v>
      </c>
      <c r="I139" s="110">
        <f>SUM(D139:D140)/2</f>
        <v>29.134884403404993</v>
      </c>
      <c r="J139" s="110">
        <f>SUM(E139:E140)/2</f>
        <v>14.843195723805323</v>
      </c>
      <c r="K139" s="110">
        <f>IF(Design!$H$18="x",I139,0)</f>
        <v>29.134884403404993</v>
      </c>
      <c r="L139" s="110">
        <f>IF(Design!$H$18="x",J139,0)</f>
        <v>14.843195723805323</v>
      </c>
      <c r="M139" s="120"/>
      <c r="N139" s="110">
        <f t="shared" ref="N139:P139" si="151">N138</f>
        <v>5.7835780800733829</v>
      </c>
      <c r="O139" s="110">
        <f t="shared" si="151"/>
        <v>353.27288705892704</v>
      </c>
      <c r="P139" s="154">
        <f t="shared" si="151"/>
        <v>1306.3599286225788</v>
      </c>
      <c r="S139" s="223">
        <f t="shared" ref="S139:S153" si="152">P139/2</f>
        <v>653.17996431128938</v>
      </c>
      <c r="T139" s="224">
        <f t="shared" ref="T139:T156" si="153">-S139</f>
        <v>-653.17996431128938</v>
      </c>
      <c r="U139" s="229">
        <f t="shared" ref="U139:U165" si="154">(S139-W139)*2</f>
        <v>-2.7639790425837418E-3</v>
      </c>
      <c r="V139" s="221"/>
      <c r="W139" s="218">
        <f t="shared" ref="W139:W165" si="155">IF($H$16="Par",Y139,0)+IF($H$16="Con",AB139,0)+IF($H$16="Exp",AE139,0)</f>
        <v>653.18134630081067</v>
      </c>
      <c r="X139" s="221"/>
      <c r="Y139" s="202">
        <f t="shared" ref="Y139:Y141" si="156">((_S5_-_S3_)*(O139-_L3_)/(_L5_-_L3_)+_S3_)/2</f>
        <v>653.18134630081067</v>
      </c>
      <c r="Z139" s="203">
        <f t="shared" si="109"/>
        <v>-653.18134630081067</v>
      </c>
      <c r="AA139" s="221"/>
      <c r="AB139" s="202">
        <f t="shared" si="122"/>
        <v>653.18134630081067</v>
      </c>
      <c r="AC139" s="203">
        <f t="shared" si="111"/>
        <v>-653.18134630081067</v>
      </c>
      <c r="AD139" s="221"/>
      <c r="AE139" s="202">
        <f t="shared" si="123"/>
        <v>653.18134630081067</v>
      </c>
      <c r="AF139" s="203">
        <f t="shared" si="113"/>
        <v>-653.18134630081067</v>
      </c>
      <c r="AG139" s="43">
        <f>IF(C137&gt;0,L139,"")</f>
        <v>14.843195723805323</v>
      </c>
      <c r="AH139" s="43">
        <f>O138</f>
        <v>353.27288705892704</v>
      </c>
      <c r="AI139" s="43">
        <f>$R$165/2</f>
        <v>906.41522996686899</v>
      </c>
    </row>
    <row r="140" spans="1:36" s="12" customFormat="1" ht="11.25" x14ac:dyDescent="0.2">
      <c r="A140" s="9"/>
      <c r="B140" s="9">
        <f t="shared" si="115"/>
        <v>9</v>
      </c>
      <c r="C140" s="38">
        <f>C137+1</f>
        <v>41</v>
      </c>
      <c r="D140" s="112">
        <f>D139-(E139-E140)*O4</f>
        <v>28.610686664507497</v>
      </c>
      <c r="E140" s="113">
        <f>E137</f>
        <v>1.9</v>
      </c>
      <c r="F140" s="114"/>
      <c r="G140" s="113">
        <f>IF(Design!$H$19="x",D140,0)</f>
        <v>0</v>
      </c>
      <c r="H140" s="113">
        <f>IF(Design!$H$19="x",E140,0)</f>
        <v>0</v>
      </c>
      <c r="I140" s="116"/>
      <c r="J140" s="117"/>
      <c r="K140" s="113">
        <f>K139</f>
        <v>29.134884403404993</v>
      </c>
      <c r="L140" s="113">
        <f>L139</f>
        <v>14.843195723805323</v>
      </c>
      <c r="M140" s="118"/>
      <c r="N140" s="113">
        <f t="shared" ref="N140:P140" si="157">N139</f>
        <v>5.7835780800733829</v>
      </c>
      <c r="O140" s="113">
        <f t="shared" si="157"/>
        <v>353.27288705892704</v>
      </c>
      <c r="P140" s="155">
        <f t="shared" si="157"/>
        <v>1306.3599286225788</v>
      </c>
      <c r="Q140" s="43">
        <f>ATAN((E139-E140)/(D139-D140))*180/PI()</f>
        <v>87.680795864182585</v>
      </c>
      <c r="R140" s="102"/>
      <c r="S140" s="223">
        <f t="shared" si="152"/>
        <v>653.17996431128938</v>
      </c>
      <c r="T140" s="224">
        <f t="shared" si="153"/>
        <v>-653.17996431128938</v>
      </c>
      <c r="U140" s="229">
        <f t="shared" si="154"/>
        <v>-2.7639790425837418E-3</v>
      </c>
      <c r="V140" s="221"/>
      <c r="W140" s="218">
        <f t="shared" si="155"/>
        <v>653.18134630081067</v>
      </c>
      <c r="X140" s="221"/>
      <c r="Y140" s="202">
        <f t="shared" si="156"/>
        <v>653.18134630081067</v>
      </c>
      <c r="Z140" s="203">
        <f t="shared" si="109"/>
        <v>-653.18134630081067</v>
      </c>
      <c r="AA140" s="221"/>
      <c r="AB140" s="202">
        <f t="shared" si="122"/>
        <v>653.18134630081067</v>
      </c>
      <c r="AC140" s="203">
        <f t="shared" si="111"/>
        <v>-653.18134630081067</v>
      </c>
      <c r="AD140" s="221"/>
      <c r="AE140" s="202">
        <f t="shared" si="123"/>
        <v>653.18134630081067</v>
      </c>
      <c r="AF140" s="203">
        <f t="shared" si="113"/>
        <v>-653.18134630081067</v>
      </c>
      <c r="AG140" s="43">
        <f>IF(C137&gt;0,L140,"")</f>
        <v>14.843195723805323</v>
      </c>
      <c r="AH140" s="43">
        <f>AH139</f>
        <v>353.27288705892704</v>
      </c>
      <c r="AI140" s="43">
        <f>-AI139</f>
        <v>-906.41522996686899</v>
      </c>
    </row>
    <row r="141" spans="1:36" s="12" customFormat="1" ht="11.25" x14ac:dyDescent="0.2">
      <c r="B141" s="9"/>
      <c r="C141" s="9"/>
      <c r="D141" s="127"/>
      <c r="E141" s="128"/>
      <c r="F141" s="128"/>
      <c r="G141" s="128"/>
      <c r="H141" s="128"/>
      <c r="I141" s="128"/>
      <c r="J141" s="128"/>
      <c r="K141" s="125">
        <f>K140</f>
        <v>29.134884403404993</v>
      </c>
      <c r="L141" s="125">
        <f>L140</f>
        <v>14.843195723805323</v>
      </c>
      <c r="M141" s="184">
        <f>((D139-D140)^2+(E139-E140)^2)^0.5</f>
        <v>25.90761268926164</v>
      </c>
      <c r="N141" s="113">
        <f>((I139-I136)^2+(J139-J136)^2)^0.5</f>
        <v>37.859804520124378</v>
      </c>
      <c r="O141" s="113">
        <f>O138+N141</f>
        <v>391.13269157905142</v>
      </c>
      <c r="P141" s="155">
        <f>((D139-D140)^2+(E139-E140)^2)^0.5*Panels!$T$114</f>
        <v>1481.9154458257658</v>
      </c>
      <c r="S141" s="223">
        <f t="shared" si="152"/>
        <v>740.9577229128829</v>
      </c>
      <c r="T141" s="224">
        <f t="shared" si="153"/>
        <v>-740.9577229128829</v>
      </c>
      <c r="U141" s="229">
        <f t="shared" si="154"/>
        <v>-0.17694360476207294</v>
      </c>
      <c r="V141" s="221"/>
      <c r="W141" s="218">
        <f t="shared" si="155"/>
        <v>741.04619471526394</v>
      </c>
      <c r="X141" s="221"/>
      <c r="Y141" s="202">
        <f t="shared" si="156"/>
        <v>741.04619471526394</v>
      </c>
      <c r="Z141" s="203">
        <f t="shared" si="109"/>
        <v>-741.04619471526394</v>
      </c>
      <c r="AA141" s="221"/>
      <c r="AB141" s="202">
        <f t="shared" si="122"/>
        <v>741.04619471526394</v>
      </c>
      <c r="AC141" s="203">
        <f t="shared" si="111"/>
        <v>-741.04619471526394</v>
      </c>
      <c r="AD141" s="221"/>
      <c r="AE141" s="202">
        <f t="shared" si="123"/>
        <v>741.04619471526394</v>
      </c>
      <c r="AF141" s="203">
        <f t="shared" si="113"/>
        <v>-741.04619471526394</v>
      </c>
      <c r="AG141" s="43">
        <f>IF(C137&gt;0,L141,"")</f>
        <v>14.843195723805323</v>
      </c>
      <c r="AJ141" s="43">
        <f>AJ138+N141</f>
        <v>391.13269157905142</v>
      </c>
    </row>
    <row r="142" spans="1:36" s="12" customFormat="1" ht="11.25" x14ac:dyDescent="0.2">
      <c r="B142" s="9"/>
      <c r="C142" s="9"/>
      <c r="D142" s="112">
        <f>D139</f>
        <v>29.659082142302488</v>
      </c>
      <c r="E142" s="113">
        <f>E139</f>
        <v>27.786391447610647</v>
      </c>
      <c r="F142" s="114"/>
      <c r="G142" s="110">
        <f>IF(Design!$H$19="x",D142,0)</f>
        <v>0</v>
      </c>
      <c r="H142" s="110">
        <f>IF(Design!$H$19="x",E142,0)</f>
        <v>0</v>
      </c>
      <c r="I142" s="113">
        <f>SUM(D142:D143)/2</f>
        <v>22.45721273727812</v>
      </c>
      <c r="J142" s="113">
        <f>SUM(E142:E143)/2</f>
        <v>14.843195723805323</v>
      </c>
      <c r="K142" s="110">
        <f>IF(Design!$H$18="x",I142,0)</f>
        <v>22.45721273727812</v>
      </c>
      <c r="L142" s="110">
        <f>IF(Design!$H$18="x",J142,0)</f>
        <v>14.843195723805323</v>
      </c>
      <c r="M142" s="120"/>
      <c r="N142" s="110">
        <f t="shared" ref="N142:P143" si="158">N141</f>
        <v>37.859804520124378</v>
      </c>
      <c r="O142" s="110">
        <f t="shared" si="158"/>
        <v>391.13269157905142</v>
      </c>
      <c r="P142" s="154">
        <f t="shared" si="158"/>
        <v>1481.9154458257658</v>
      </c>
      <c r="S142" s="223">
        <f t="shared" si="152"/>
        <v>740.9577229128829</v>
      </c>
      <c r="T142" s="224">
        <f t="shared" si="153"/>
        <v>-740.9577229128829</v>
      </c>
      <c r="U142" s="229">
        <f t="shared" si="154"/>
        <v>-0.17694360476207294</v>
      </c>
      <c r="V142" s="221"/>
      <c r="W142" s="218">
        <f t="shared" si="155"/>
        <v>741.04619471526394</v>
      </c>
      <c r="X142" s="221"/>
      <c r="Y142" s="202">
        <f t="shared" ref="Y142:Y165" si="159">((_S5_-_S3_)*(O142-_L3_)/(_L5_-_L3_)+_S3_)/2</f>
        <v>741.04619471526394</v>
      </c>
      <c r="Z142" s="203">
        <f t="shared" ref="Z139:Z156" si="160">-Y142</f>
        <v>-741.04619471526394</v>
      </c>
      <c r="AA142" s="221"/>
      <c r="AB142" s="202">
        <f t="shared" ref="AB142:AB153" si="161">Y142</f>
        <v>741.04619471526394</v>
      </c>
      <c r="AC142" s="203">
        <f t="shared" ref="AC142:AF165" si="162">-AB142</f>
        <v>-741.04619471526394</v>
      </c>
      <c r="AD142" s="221"/>
      <c r="AE142" s="202">
        <f t="shared" ref="AE142:AE155" si="163">Y142</f>
        <v>741.04619471526394</v>
      </c>
      <c r="AF142" s="203">
        <f t="shared" si="162"/>
        <v>-741.04619471526394</v>
      </c>
      <c r="AG142" s="43">
        <f>IF(C140&gt;0,L142,"")</f>
        <v>14.843195723805323</v>
      </c>
      <c r="AH142" s="43">
        <f>O141</f>
        <v>391.13269157905142</v>
      </c>
      <c r="AI142" s="43">
        <f>$R$165/2</f>
        <v>906.41522996686899</v>
      </c>
    </row>
    <row r="143" spans="1:36" s="12" customFormat="1" ht="11.25" x14ac:dyDescent="0.2">
      <c r="B143" s="9">
        <f t="shared" si="115"/>
        <v>8</v>
      </c>
      <c r="C143" s="38">
        <f>C140+1</f>
        <v>42</v>
      </c>
      <c r="D143" s="112">
        <f>(D140+Panels!C27)/2</f>
        <v>15.255343332253748</v>
      </c>
      <c r="E143" s="113">
        <f>E140</f>
        <v>1.9</v>
      </c>
      <c r="F143" s="114"/>
      <c r="G143" s="113">
        <f>IF(Design!$H$19="x",D143,0)</f>
        <v>0</v>
      </c>
      <c r="H143" s="113">
        <f>IF(Design!$H$19="x",E143,0)</f>
        <v>0</v>
      </c>
      <c r="I143" s="116"/>
      <c r="J143" s="117"/>
      <c r="K143" s="113">
        <f>K142</f>
        <v>22.45721273727812</v>
      </c>
      <c r="L143" s="113">
        <f>L142</f>
        <v>14.843195723805323</v>
      </c>
      <c r="M143" s="118"/>
      <c r="N143" s="113">
        <f t="shared" si="158"/>
        <v>37.859804520124378</v>
      </c>
      <c r="O143" s="113">
        <f t="shared" si="158"/>
        <v>391.13269157905142</v>
      </c>
      <c r="P143" s="155">
        <f t="shared" si="158"/>
        <v>1481.9154458257658</v>
      </c>
      <c r="Q143" s="43">
        <f>ATAN((E142-E143)/(D142-D143))*180/PI()</f>
        <v>60.907506573018487</v>
      </c>
      <c r="R143" s="102"/>
      <c r="S143" s="223">
        <f t="shared" si="152"/>
        <v>740.9577229128829</v>
      </c>
      <c r="T143" s="224">
        <f t="shared" si="153"/>
        <v>-740.9577229128829</v>
      </c>
      <c r="U143" s="229">
        <f t="shared" si="154"/>
        <v>-0.17694360476207294</v>
      </c>
      <c r="V143" s="221"/>
      <c r="W143" s="218">
        <f t="shared" si="155"/>
        <v>741.04619471526394</v>
      </c>
      <c r="X143" s="221"/>
      <c r="Y143" s="202">
        <f t="shared" si="159"/>
        <v>741.04619471526394</v>
      </c>
      <c r="Z143" s="203">
        <f t="shared" si="160"/>
        <v>-741.04619471526394</v>
      </c>
      <c r="AA143" s="221"/>
      <c r="AB143" s="202">
        <f t="shared" si="161"/>
        <v>741.04619471526394</v>
      </c>
      <c r="AC143" s="203">
        <f t="shared" si="162"/>
        <v>-741.04619471526394</v>
      </c>
      <c r="AD143" s="221"/>
      <c r="AE143" s="202">
        <f t="shared" si="163"/>
        <v>741.04619471526394</v>
      </c>
      <c r="AF143" s="203">
        <f t="shared" si="162"/>
        <v>-741.04619471526394</v>
      </c>
      <c r="AG143" s="43">
        <f>IF(C140&gt;0,L143,"")</f>
        <v>14.843195723805323</v>
      </c>
      <c r="AH143" s="43">
        <f>AH142</f>
        <v>391.13269157905142</v>
      </c>
      <c r="AI143" s="43">
        <f>-AI142</f>
        <v>-906.41522996686899</v>
      </c>
    </row>
    <row r="144" spans="1:36" s="12" customFormat="1" ht="11.25" x14ac:dyDescent="0.2">
      <c r="B144" s="9"/>
      <c r="C144" s="9"/>
      <c r="D144" s="126"/>
      <c r="E144" s="114"/>
      <c r="F144" s="114"/>
      <c r="G144" s="114"/>
      <c r="H144" s="114"/>
      <c r="I144" s="114"/>
      <c r="J144" s="114"/>
      <c r="K144" s="125">
        <f>K143</f>
        <v>22.45721273727812</v>
      </c>
      <c r="L144" s="125">
        <f>L143</f>
        <v>14.843195723805323</v>
      </c>
      <c r="M144" s="184">
        <f>((D142-D143)^2+(E142-E143)^2)^0.5</f>
        <v>29.623857849494115</v>
      </c>
      <c r="N144" s="113">
        <f>((I142-I139)^2+(J142-J139)^2)^0.5</f>
        <v>6.6776716661268729</v>
      </c>
      <c r="O144" s="113">
        <f>O141+N144</f>
        <v>397.81036324517828</v>
      </c>
      <c r="P144" s="155">
        <f>((D142-D143)^2+(E142-E143)^2)^0.5*Panels!$T$114</f>
        <v>1694.4846689910635</v>
      </c>
      <c r="S144" s="223">
        <f t="shared" si="152"/>
        <v>847.24233449553174</v>
      </c>
      <c r="T144" s="224">
        <f t="shared" si="153"/>
        <v>-847.24233449553174</v>
      </c>
      <c r="U144" s="229">
        <f t="shared" si="154"/>
        <v>181.39726433831788</v>
      </c>
      <c r="V144" s="221"/>
      <c r="W144" s="218">
        <f t="shared" si="155"/>
        <v>756.5437023263728</v>
      </c>
      <c r="X144" s="221"/>
      <c r="Y144" s="202">
        <f t="shared" si="159"/>
        <v>756.5437023263728</v>
      </c>
      <c r="Z144" s="203">
        <f t="shared" si="160"/>
        <v>-756.5437023263728</v>
      </c>
      <c r="AA144" s="221"/>
      <c r="AB144" s="202">
        <f t="shared" si="161"/>
        <v>756.5437023263728</v>
      </c>
      <c r="AC144" s="203">
        <f t="shared" si="162"/>
        <v>-756.5437023263728</v>
      </c>
      <c r="AD144" s="221"/>
      <c r="AE144" s="202">
        <f t="shared" si="163"/>
        <v>756.5437023263728</v>
      </c>
      <c r="AF144" s="203">
        <f t="shared" si="162"/>
        <v>-756.5437023263728</v>
      </c>
      <c r="AG144" s="43">
        <f>IF(C140&gt;0,L144,"")</f>
        <v>14.843195723805323</v>
      </c>
      <c r="AJ144" s="43">
        <f>AJ141+N144</f>
        <v>397.81036324517828</v>
      </c>
    </row>
    <row r="145" spans="1:44" s="12" customFormat="1" ht="11.25" x14ac:dyDescent="0.2">
      <c r="B145" s="9"/>
      <c r="C145" s="9"/>
      <c r="D145" s="109">
        <f>D142</f>
        <v>29.659082142302488</v>
      </c>
      <c r="E145" s="110">
        <f>E142</f>
        <v>27.786391447610647</v>
      </c>
      <c r="F145" s="111"/>
      <c r="G145" s="110">
        <f>IF(Design!$H$19="x",D145,0)</f>
        <v>0</v>
      </c>
      <c r="H145" s="110">
        <f>IF(Design!$H$19="x",E145,0)</f>
        <v>0</v>
      </c>
      <c r="I145" s="110">
        <f>SUM(D145:D146)/2</f>
        <v>15.779541071151243</v>
      </c>
      <c r="J145" s="110">
        <f>SUM(E145:E146)/2</f>
        <v>21.314793585707985</v>
      </c>
      <c r="K145" s="110">
        <f>IF(Design!$H$18="x",I145,0)</f>
        <v>15.779541071151243</v>
      </c>
      <c r="L145" s="110">
        <f>IF(Design!$H$18="x",J145,0)</f>
        <v>21.314793585707985</v>
      </c>
      <c r="M145" s="120"/>
      <c r="N145" s="110">
        <f t="shared" ref="N145:P146" si="164">N144</f>
        <v>6.6776716661268729</v>
      </c>
      <c r="O145" s="110">
        <f t="shared" si="164"/>
        <v>397.81036324517828</v>
      </c>
      <c r="P145" s="154">
        <f t="shared" si="164"/>
        <v>1694.4846689910635</v>
      </c>
      <c r="S145" s="223">
        <f t="shared" si="152"/>
        <v>847.24233449553174</v>
      </c>
      <c r="T145" s="224">
        <f t="shared" si="153"/>
        <v>-847.24233449553174</v>
      </c>
      <c r="U145" s="229">
        <f t="shared" si="154"/>
        <v>181.39726433831788</v>
      </c>
      <c r="V145" s="221"/>
      <c r="W145" s="218">
        <f t="shared" si="155"/>
        <v>756.5437023263728</v>
      </c>
      <c r="X145" s="221"/>
      <c r="Y145" s="202">
        <f t="shared" si="159"/>
        <v>756.5437023263728</v>
      </c>
      <c r="Z145" s="203">
        <f t="shared" si="160"/>
        <v>-756.5437023263728</v>
      </c>
      <c r="AA145" s="221"/>
      <c r="AB145" s="202">
        <f t="shared" si="161"/>
        <v>756.5437023263728</v>
      </c>
      <c r="AC145" s="203">
        <f t="shared" si="162"/>
        <v>-756.5437023263728</v>
      </c>
      <c r="AD145" s="221"/>
      <c r="AE145" s="202">
        <f t="shared" si="163"/>
        <v>756.5437023263728</v>
      </c>
      <c r="AF145" s="203">
        <f t="shared" si="162"/>
        <v>-756.5437023263728</v>
      </c>
      <c r="AG145" s="43">
        <f>IF(C143&gt;0,L145,"")</f>
        <v>21.314793585707985</v>
      </c>
      <c r="AH145" s="43">
        <f>O144</f>
        <v>397.81036324517828</v>
      </c>
      <c r="AI145" s="43">
        <f>$R$165/2</f>
        <v>906.41522996686899</v>
      </c>
    </row>
    <row r="146" spans="1:44" s="12" customFormat="1" ht="11.25" x14ac:dyDescent="0.2">
      <c r="B146" s="9">
        <f t="shared" si="115"/>
        <v>7</v>
      </c>
      <c r="C146" s="38">
        <f>C143+1</f>
        <v>43</v>
      </c>
      <c r="D146" s="112">
        <f>Panels!C24</f>
        <v>1.9</v>
      </c>
      <c r="E146" s="113">
        <f>(E142+E143)/2</f>
        <v>14.843195723805323</v>
      </c>
      <c r="F146" s="114"/>
      <c r="G146" s="113">
        <f>IF(Design!$H$19="x",D146,0)</f>
        <v>0</v>
      </c>
      <c r="H146" s="113">
        <f>IF(Design!$H$19="x",E146,0)</f>
        <v>0</v>
      </c>
      <c r="I146" s="116"/>
      <c r="J146" s="117"/>
      <c r="K146" s="113">
        <f>K145</f>
        <v>15.779541071151243</v>
      </c>
      <c r="L146" s="113">
        <f>L145</f>
        <v>21.314793585707985</v>
      </c>
      <c r="M146" s="118"/>
      <c r="N146" s="113">
        <f t="shared" si="164"/>
        <v>6.6776716661268729</v>
      </c>
      <c r="O146" s="113">
        <f t="shared" si="164"/>
        <v>397.81036324517828</v>
      </c>
      <c r="P146" s="155">
        <f t="shared" si="164"/>
        <v>1694.4846689910635</v>
      </c>
      <c r="Q146" s="43">
        <f>ATAN((E145-E146)/(D145-D146))*180/PI()</f>
        <v>24.998174273742848</v>
      </c>
      <c r="R146" s="102"/>
      <c r="S146" s="223">
        <f t="shared" si="152"/>
        <v>847.24233449553174</v>
      </c>
      <c r="T146" s="224">
        <f t="shared" si="153"/>
        <v>-847.24233449553174</v>
      </c>
      <c r="U146" s="229">
        <f t="shared" si="154"/>
        <v>181.39726433831788</v>
      </c>
      <c r="V146" s="221"/>
      <c r="W146" s="218">
        <f t="shared" si="155"/>
        <v>756.5437023263728</v>
      </c>
      <c r="X146" s="221"/>
      <c r="Y146" s="202">
        <f t="shared" si="159"/>
        <v>756.5437023263728</v>
      </c>
      <c r="Z146" s="203">
        <f t="shared" si="160"/>
        <v>-756.5437023263728</v>
      </c>
      <c r="AA146" s="221"/>
      <c r="AB146" s="202">
        <f t="shared" si="161"/>
        <v>756.5437023263728</v>
      </c>
      <c r="AC146" s="203">
        <f t="shared" si="162"/>
        <v>-756.5437023263728</v>
      </c>
      <c r="AD146" s="221"/>
      <c r="AE146" s="202">
        <f t="shared" si="163"/>
        <v>756.5437023263728</v>
      </c>
      <c r="AF146" s="203">
        <f t="shared" si="162"/>
        <v>-756.5437023263728</v>
      </c>
      <c r="AG146" s="43">
        <f>IF(C143&gt;0,L146,"")</f>
        <v>21.314793585707985</v>
      </c>
      <c r="AH146" s="43">
        <f>AH145</f>
        <v>397.81036324517828</v>
      </c>
      <c r="AI146" s="43">
        <f>-AI145</f>
        <v>-906.41522996686899</v>
      </c>
    </row>
    <row r="147" spans="1:44" s="12" customFormat="1" ht="11.25" x14ac:dyDescent="0.2">
      <c r="B147" s="9"/>
      <c r="C147" s="9"/>
      <c r="D147" s="127"/>
      <c r="E147" s="128"/>
      <c r="F147" s="128"/>
      <c r="G147" s="128"/>
      <c r="H147" s="128"/>
      <c r="I147" s="128"/>
      <c r="J147" s="128"/>
      <c r="K147" s="125">
        <f>K146</f>
        <v>15.779541071151243</v>
      </c>
      <c r="L147" s="125">
        <f>L146</f>
        <v>21.314793585707985</v>
      </c>
      <c r="M147" s="184">
        <f>((D145-D146)^2+(E145-E146)^2)^0.5</f>
        <v>30.628303200272608</v>
      </c>
      <c r="N147" s="113">
        <f>((I145-I142)^2+(J145-J142)^2)^0.5</f>
        <v>9.2990794042623808</v>
      </c>
      <c r="O147" s="113">
        <f>O144+N147</f>
        <v>407.10944264944067</v>
      </c>
      <c r="P147" s="155">
        <f>((D145-D146)^2+(E145-E146)^2)^0.5*Panels!$T$114</f>
        <v>1751.9389430555932</v>
      </c>
      <c r="S147" s="223">
        <f t="shared" si="152"/>
        <v>875.9694715277966</v>
      </c>
      <c r="T147" s="224">
        <f t="shared" si="153"/>
        <v>-875.9694715277966</v>
      </c>
      <c r="U147" s="229">
        <f t="shared" si="154"/>
        <v>195.68902276887661</v>
      </c>
      <c r="V147" s="221"/>
      <c r="W147" s="218">
        <f t="shared" si="155"/>
        <v>778.12496014335829</v>
      </c>
      <c r="X147" s="221"/>
      <c r="Y147" s="202">
        <f t="shared" si="159"/>
        <v>778.12496014335829</v>
      </c>
      <c r="Z147" s="203">
        <f t="shared" si="160"/>
        <v>-778.12496014335829</v>
      </c>
      <c r="AA147" s="221"/>
      <c r="AB147" s="202">
        <f t="shared" si="161"/>
        <v>778.12496014335829</v>
      </c>
      <c r="AC147" s="203">
        <f t="shared" si="162"/>
        <v>-778.12496014335829</v>
      </c>
      <c r="AD147" s="221"/>
      <c r="AE147" s="202">
        <f t="shared" si="163"/>
        <v>778.12496014335829</v>
      </c>
      <c r="AF147" s="203">
        <f t="shared" si="162"/>
        <v>-778.12496014335829</v>
      </c>
      <c r="AG147" s="43">
        <f>IF(C143&gt;0,L147,"")</f>
        <v>21.314793585707985</v>
      </c>
      <c r="AJ147" s="43">
        <f>AJ144+N147</f>
        <v>407.10944264944067</v>
      </c>
    </row>
    <row r="148" spans="1:44" s="12" customFormat="1" ht="11.25" x14ac:dyDescent="0.2">
      <c r="B148" s="9"/>
      <c r="C148" s="9"/>
      <c r="D148" s="112">
        <f>D145</f>
        <v>29.659082142302488</v>
      </c>
      <c r="E148" s="113">
        <f>E145</f>
        <v>27.786391447610647</v>
      </c>
      <c r="F148" s="114"/>
      <c r="G148" s="113">
        <f>IF(Design!$H$19="x",D148,0)</f>
        <v>0</v>
      </c>
      <c r="H148" s="113">
        <f>IF(Design!$H$19="x",E148,0)</f>
        <v>0</v>
      </c>
      <c r="I148" s="113">
        <f>SUM(D148:D149)/2</f>
        <v>15.779541071151243</v>
      </c>
      <c r="J148" s="113">
        <f>SUM(E148:E149)/2</f>
        <v>28.348511050967254</v>
      </c>
      <c r="K148" s="110">
        <f>IF(Design!$H$18="x",I148,0)</f>
        <v>15.779541071151243</v>
      </c>
      <c r="L148" s="110">
        <f>IF(Design!$H$18="x",J148,0)</f>
        <v>28.348511050967254</v>
      </c>
      <c r="M148" s="120"/>
      <c r="N148" s="110">
        <f t="shared" ref="N148:P149" si="165">N147</f>
        <v>9.2990794042623808</v>
      </c>
      <c r="O148" s="110">
        <f t="shared" si="165"/>
        <v>407.10944264944067</v>
      </c>
      <c r="P148" s="154">
        <f t="shared" si="165"/>
        <v>1751.9389430555932</v>
      </c>
      <c r="S148" s="223">
        <f t="shared" si="152"/>
        <v>875.9694715277966</v>
      </c>
      <c r="T148" s="224">
        <f t="shared" si="153"/>
        <v>-875.9694715277966</v>
      </c>
      <c r="U148" s="229">
        <f t="shared" si="154"/>
        <v>195.68902276887661</v>
      </c>
      <c r="V148" s="221"/>
      <c r="W148" s="218">
        <f t="shared" si="155"/>
        <v>778.12496014335829</v>
      </c>
      <c r="X148" s="221"/>
      <c r="Y148" s="202">
        <f t="shared" si="159"/>
        <v>778.12496014335829</v>
      </c>
      <c r="Z148" s="203">
        <f t="shared" si="160"/>
        <v>-778.12496014335829</v>
      </c>
      <c r="AA148" s="221"/>
      <c r="AB148" s="202">
        <f t="shared" si="161"/>
        <v>778.12496014335829</v>
      </c>
      <c r="AC148" s="203">
        <f t="shared" si="162"/>
        <v>-778.12496014335829</v>
      </c>
      <c r="AD148" s="221"/>
      <c r="AE148" s="202">
        <f t="shared" si="163"/>
        <v>778.12496014335829</v>
      </c>
      <c r="AF148" s="203">
        <f t="shared" si="162"/>
        <v>-778.12496014335829</v>
      </c>
      <c r="AG148" s="43">
        <f>IF(C146&gt;0,L148,"")</f>
        <v>28.348511050967254</v>
      </c>
      <c r="AH148" s="43">
        <f>O147</f>
        <v>407.10944264944067</v>
      </c>
      <c r="AI148" s="43">
        <f>$R$165/2</f>
        <v>906.41522996686899</v>
      </c>
    </row>
    <row r="149" spans="1:44" s="12" customFormat="1" ht="11.25" x14ac:dyDescent="0.2">
      <c r="B149" s="9">
        <f t="shared" si="115"/>
        <v>6</v>
      </c>
      <c r="C149" s="38">
        <f>C146+1</f>
        <v>44</v>
      </c>
      <c r="D149" s="112">
        <f>D146</f>
        <v>1.9</v>
      </c>
      <c r="E149" s="113">
        <f>E148+(D148-D149)*O4</f>
        <v>28.910630654323864</v>
      </c>
      <c r="F149" s="114"/>
      <c r="G149" s="113">
        <f>IF(Design!$H$19="x",D149,0)</f>
        <v>0</v>
      </c>
      <c r="H149" s="113">
        <f>IF(Design!$H$19="x",E149,0)</f>
        <v>0</v>
      </c>
      <c r="I149" s="116"/>
      <c r="J149" s="117"/>
      <c r="K149" s="113">
        <f>K148</f>
        <v>15.779541071151243</v>
      </c>
      <c r="L149" s="113">
        <f>L148</f>
        <v>28.348511050967254</v>
      </c>
      <c r="M149" s="118"/>
      <c r="N149" s="113">
        <f t="shared" si="165"/>
        <v>9.2990794042623808</v>
      </c>
      <c r="O149" s="113">
        <f t="shared" si="165"/>
        <v>407.10944264944067</v>
      </c>
      <c r="P149" s="155">
        <f t="shared" si="165"/>
        <v>1751.9389430555932</v>
      </c>
      <c r="Q149" s="43">
        <f>ATAN((E148-E149)/(D148-D149))*180/PI()</f>
        <v>-2.3192041358174222</v>
      </c>
      <c r="R149" s="102"/>
      <c r="S149" s="223">
        <f t="shared" si="152"/>
        <v>875.9694715277966</v>
      </c>
      <c r="T149" s="224">
        <f t="shared" si="153"/>
        <v>-875.9694715277966</v>
      </c>
      <c r="U149" s="229">
        <f t="shared" si="154"/>
        <v>195.68902276887661</v>
      </c>
      <c r="V149" s="221"/>
      <c r="W149" s="218">
        <f t="shared" si="155"/>
        <v>778.12496014335829</v>
      </c>
      <c r="X149" s="221"/>
      <c r="Y149" s="202">
        <f t="shared" si="159"/>
        <v>778.12496014335829</v>
      </c>
      <c r="Z149" s="203">
        <f t="shared" si="160"/>
        <v>-778.12496014335829</v>
      </c>
      <c r="AA149" s="221"/>
      <c r="AB149" s="202">
        <f t="shared" si="161"/>
        <v>778.12496014335829</v>
      </c>
      <c r="AC149" s="203">
        <f t="shared" si="162"/>
        <v>-778.12496014335829</v>
      </c>
      <c r="AD149" s="221"/>
      <c r="AE149" s="202">
        <f t="shared" si="163"/>
        <v>778.12496014335829</v>
      </c>
      <c r="AF149" s="203">
        <f t="shared" si="162"/>
        <v>-778.12496014335829</v>
      </c>
      <c r="AG149" s="43">
        <f>IF(C146&gt;0,L149,"")</f>
        <v>28.348511050967254</v>
      </c>
      <c r="AH149" s="43">
        <f>AH148</f>
        <v>407.10944264944067</v>
      </c>
      <c r="AI149" s="43">
        <f>-AI148</f>
        <v>-906.41522996686899</v>
      </c>
    </row>
    <row r="150" spans="1:44" s="12" customFormat="1" ht="11.25" x14ac:dyDescent="0.2">
      <c r="B150" s="9"/>
      <c r="C150" s="9"/>
      <c r="D150" s="127"/>
      <c r="E150" s="128"/>
      <c r="F150" s="128"/>
      <c r="G150" s="128"/>
      <c r="H150" s="128"/>
      <c r="I150" s="128"/>
      <c r="J150" s="128"/>
      <c r="K150" s="125">
        <f>K149</f>
        <v>15.779541071151243</v>
      </c>
      <c r="L150" s="125">
        <f>L149</f>
        <v>28.348511050967254</v>
      </c>
      <c r="M150" s="184">
        <f>((D148-D149)^2+(E148-E149)^2)^0.5</f>
        <v>27.781838585252203</v>
      </c>
      <c r="N150" s="113">
        <f>((I148-I145)^2+(J148-J145)^2)^0.5</f>
        <v>7.0337174652592687</v>
      </c>
      <c r="O150" s="113">
        <f>O147+N150</f>
        <v>414.14316011469992</v>
      </c>
      <c r="P150" s="155">
        <f>((D148-D149)^2+(E148-E149)^2)^0.5*Panels!$T$114</f>
        <v>1589.121167076426</v>
      </c>
      <c r="S150" s="223">
        <f t="shared" si="152"/>
        <v>794.560583538213</v>
      </c>
      <c r="T150" s="224">
        <f t="shared" si="153"/>
        <v>-794.560583538213</v>
      </c>
      <c r="U150" s="229">
        <f t="shared" si="154"/>
        <v>0.22361288306365168</v>
      </c>
      <c r="V150" s="221"/>
      <c r="W150" s="218">
        <f t="shared" si="155"/>
        <v>794.44877709668117</v>
      </c>
      <c r="X150" s="221"/>
      <c r="Y150" s="202">
        <f t="shared" si="159"/>
        <v>794.44877709668117</v>
      </c>
      <c r="Z150" s="203">
        <f t="shared" si="160"/>
        <v>-794.44877709668117</v>
      </c>
      <c r="AA150" s="221"/>
      <c r="AB150" s="202">
        <f t="shared" si="161"/>
        <v>794.44877709668117</v>
      </c>
      <c r="AC150" s="203">
        <f t="shared" si="162"/>
        <v>-794.44877709668117</v>
      </c>
      <c r="AD150" s="221"/>
      <c r="AE150" s="202">
        <f t="shared" si="163"/>
        <v>794.44877709668117</v>
      </c>
      <c r="AF150" s="203">
        <f t="shared" si="162"/>
        <v>-794.44877709668117</v>
      </c>
      <c r="AG150" s="43">
        <f>IF(C146&gt;0,L150,"")</f>
        <v>28.348511050967254</v>
      </c>
      <c r="AJ150" s="43">
        <f>AJ147+N150</f>
        <v>414.14316011469992</v>
      </c>
    </row>
    <row r="151" spans="1:44" s="12" customFormat="1" ht="11.25" x14ac:dyDescent="0.2">
      <c r="B151" s="9"/>
      <c r="C151" s="9"/>
      <c r="D151" s="109">
        <f>Panels!C42</f>
        <v>29.81285537892925</v>
      </c>
      <c r="E151" s="110">
        <f>Panels!D42</f>
        <v>29.68015853775065</v>
      </c>
      <c r="F151" s="111"/>
      <c r="G151" s="110">
        <f>IF(Design!$H$19="x",D151,0)</f>
        <v>0</v>
      </c>
      <c r="H151" s="110">
        <f>IF(Design!$H$19="x",E151,0)</f>
        <v>0</v>
      </c>
      <c r="I151" s="110">
        <f>SUM(D151:D152)/2</f>
        <v>15.856427689464624</v>
      </c>
      <c r="J151" s="110">
        <f>SUM(E151:E152)/2</f>
        <v>30.245392039122201</v>
      </c>
      <c r="K151" s="110">
        <f>IF(Design!$H$18="x",I151,0)</f>
        <v>15.856427689464624</v>
      </c>
      <c r="L151" s="110">
        <f>IF(Design!$H$18="x",J151,0)</f>
        <v>30.245392039122201</v>
      </c>
      <c r="M151" s="120"/>
      <c r="N151" s="110">
        <f t="shared" ref="N151:P152" si="166">N150</f>
        <v>7.0337174652592687</v>
      </c>
      <c r="O151" s="110">
        <f t="shared" si="166"/>
        <v>414.14316011469992</v>
      </c>
      <c r="P151" s="154">
        <f t="shared" si="166"/>
        <v>1589.121167076426</v>
      </c>
      <c r="S151" s="223">
        <f t="shared" si="152"/>
        <v>794.560583538213</v>
      </c>
      <c r="T151" s="224">
        <f t="shared" si="153"/>
        <v>-794.560583538213</v>
      </c>
      <c r="U151" s="229">
        <f t="shared" si="154"/>
        <v>0.22361288306365168</v>
      </c>
      <c r="V151" s="221"/>
      <c r="W151" s="218">
        <f t="shared" si="155"/>
        <v>794.44877709668117</v>
      </c>
      <c r="X151" s="221"/>
      <c r="Y151" s="202">
        <f t="shared" si="159"/>
        <v>794.44877709668117</v>
      </c>
      <c r="Z151" s="203">
        <f t="shared" si="160"/>
        <v>-794.44877709668117</v>
      </c>
      <c r="AA151" s="221"/>
      <c r="AB151" s="202">
        <f t="shared" si="161"/>
        <v>794.44877709668117</v>
      </c>
      <c r="AC151" s="203">
        <f t="shared" si="162"/>
        <v>-794.44877709668117</v>
      </c>
      <c r="AD151" s="221"/>
      <c r="AE151" s="202">
        <f t="shared" si="163"/>
        <v>794.44877709668117</v>
      </c>
      <c r="AF151" s="203">
        <f t="shared" si="162"/>
        <v>-794.44877709668117</v>
      </c>
      <c r="AG151" s="43">
        <f>IF(C149&gt;0,L151,"")</f>
        <v>30.245392039122201</v>
      </c>
      <c r="AH151" s="43">
        <f>O150</f>
        <v>414.14316011469992</v>
      </c>
      <c r="AI151" s="43">
        <f>$R$165/2</f>
        <v>906.41522996686899</v>
      </c>
    </row>
    <row r="152" spans="1:44" s="12" customFormat="1" ht="11.25" x14ac:dyDescent="0.2">
      <c r="B152" s="9">
        <f t="shared" si="115"/>
        <v>5</v>
      </c>
      <c r="C152" s="38">
        <f>C149+1</f>
        <v>45</v>
      </c>
      <c r="D152" s="112">
        <f>D149</f>
        <v>1.9</v>
      </c>
      <c r="E152" s="113">
        <f>E151+(D151-D152)*O4</f>
        <v>30.810625540493749</v>
      </c>
      <c r="F152" s="114"/>
      <c r="G152" s="113">
        <f>IF(Design!$H$19="x",D152,0)</f>
        <v>0</v>
      </c>
      <c r="H152" s="113">
        <f>IF(Design!$H$19="x",E152,0)</f>
        <v>0</v>
      </c>
      <c r="I152" s="116"/>
      <c r="J152" s="117"/>
      <c r="K152" s="113">
        <f>K151</f>
        <v>15.856427689464624</v>
      </c>
      <c r="L152" s="113">
        <f>L151</f>
        <v>30.245392039122201</v>
      </c>
      <c r="M152" s="118"/>
      <c r="N152" s="113">
        <f t="shared" si="166"/>
        <v>7.0337174652592687</v>
      </c>
      <c r="O152" s="113">
        <f t="shared" si="166"/>
        <v>414.14316011469992</v>
      </c>
      <c r="P152" s="155">
        <f t="shared" si="166"/>
        <v>1589.121167076426</v>
      </c>
      <c r="Q152" s="43">
        <f>ATAN((E151-E152)/(D151-D152))*180/PI()</f>
        <v>-2.319204135817424</v>
      </c>
      <c r="R152" s="43"/>
      <c r="S152" s="223">
        <f t="shared" si="152"/>
        <v>794.560583538213</v>
      </c>
      <c r="T152" s="224">
        <f t="shared" si="153"/>
        <v>-794.560583538213</v>
      </c>
      <c r="U152" s="229">
        <f t="shared" si="154"/>
        <v>0.22361288306365168</v>
      </c>
      <c r="V152" s="221"/>
      <c r="W152" s="218">
        <f t="shared" si="155"/>
        <v>794.44877709668117</v>
      </c>
      <c r="X152" s="221"/>
      <c r="Y152" s="202">
        <f t="shared" si="159"/>
        <v>794.44877709668117</v>
      </c>
      <c r="Z152" s="203">
        <f t="shared" si="160"/>
        <v>-794.44877709668117</v>
      </c>
      <c r="AA152" s="221"/>
      <c r="AB152" s="202">
        <f t="shared" si="161"/>
        <v>794.44877709668117</v>
      </c>
      <c r="AC152" s="203">
        <f t="shared" si="162"/>
        <v>-794.44877709668117</v>
      </c>
      <c r="AD152" s="221"/>
      <c r="AE152" s="202">
        <f t="shared" si="163"/>
        <v>794.44877709668117</v>
      </c>
      <c r="AF152" s="203">
        <f t="shared" si="162"/>
        <v>-794.44877709668117</v>
      </c>
      <c r="AG152" s="43">
        <f>IF(C149&gt;0,L152,"")</f>
        <v>30.245392039122201</v>
      </c>
      <c r="AH152" s="43">
        <f>AH151</f>
        <v>414.14316011469992</v>
      </c>
      <c r="AI152" s="43">
        <f>-AI151</f>
        <v>-906.41522996686899</v>
      </c>
    </row>
    <row r="153" spans="1:44" s="12" customFormat="1" ht="11.25" x14ac:dyDescent="0.2">
      <c r="B153" s="9"/>
      <c r="C153" s="9"/>
      <c r="D153" s="127"/>
      <c r="E153" s="128"/>
      <c r="F153" s="128"/>
      <c r="G153" s="128"/>
      <c r="H153" s="128"/>
      <c r="I153" s="128"/>
      <c r="J153" s="128"/>
      <c r="K153" s="125">
        <f>K152</f>
        <v>15.856427689464624</v>
      </c>
      <c r="L153" s="125">
        <f>L152</f>
        <v>30.245392039122201</v>
      </c>
      <c r="M153" s="184">
        <f>((D151-D152)^2+(E151-E152)^2)^0.5</f>
        <v>27.935737882671198</v>
      </c>
      <c r="N153" s="113">
        <f>((I151-I148)^2+(J151-J148)^2)^0.5</f>
        <v>1.8984385782266853</v>
      </c>
      <c r="O153" s="113">
        <f>O150+N153</f>
        <v>416.04159869292658</v>
      </c>
      <c r="P153" s="155">
        <f>((D151-D152)^2+(E151-E152)^2)^0.5*Panels!$T$114</f>
        <v>1597.9242068887927</v>
      </c>
      <c r="S153" s="223">
        <f t="shared" si="152"/>
        <v>798.96210344439635</v>
      </c>
      <c r="T153" s="224">
        <f t="shared" si="153"/>
        <v>-798.96210344439635</v>
      </c>
      <c r="U153" s="229">
        <f t="shared" si="154"/>
        <v>0.21487883582835821</v>
      </c>
      <c r="V153" s="221"/>
      <c r="W153" s="218">
        <f t="shared" si="155"/>
        <v>798.85466402648217</v>
      </c>
      <c r="X153" s="221"/>
      <c r="Y153" s="202">
        <f t="shared" si="159"/>
        <v>798.85466402648217</v>
      </c>
      <c r="Z153" s="203">
        <f t="shared" si="160"/>
        <v>-798.85466402648217</v>
      </c>
      <c r="AA153" s="221"/>
      <c r="AB153" s="202">
        <f t="shared" si="161"/>
        <v>798.85466402648217</v>
      </c>
      <c r="AC153" s="203">
        <f t="shared" si="162"/>
        <v>-798.85466402648217</v>
      </c>
      <c r="AD153" s="221"/>
      <c r="AE153" s="202">
        <f t="shared" si="163"/>
        <v>798.85466402648217</v>
      </c>
      <c r="AF153" s="203">
        <f t="shared" si="162"/>
        <v>-798.85466402648217</v>
      </c>
      <c r="AG153" s="43">
        <f>IF(C149&gt;0,L153,"")</f>
        <v>30.245392039122201</v>
      </c>
      <c r="AJ153" s="43">
        <f>AJ150+N153</f>
        <v>416.04159869292658</v>
      </c>
    </row>
    <row r="154" spans="1:44" s="12" customFormat="1" ht="11.25" x14ac:dyDescent="0.2">
      <c r="B154" s="9"/>
      <c r="C154" s="9"/>
      <c r="D154" s="129">
        <f>Panels!C37</f>
        <v>29.81285537892925</v>
      </c>
      <c r="E154" s="130">
        <f>Panels!D37</f>
        <v>29.68015853775065</v>
      </c>
      <c r="F154" s="131"/>
      <c r="G154" s="113">
        <f>IF(Design!$H$19="x",D154,0)</f>
        <v>0</v>
      </c>
      <c r="H154" s="113">
        <f>IF(Design!$H$19="x",E154,0)</f>
        <v>0</v>
      </c>
      <c r="I154" s="130">
        <f>SUM(D154:D155)/2</f>
        <v>15.856427689464624</v>
      </c>
      <c r="J154" s="130">
        <f>SUM(E154:E155)/2</f>
        <v>30.245392039122201</v>
      </c>
      <c r="K154" s="110">
        <f>IF(Design!$H$18="x",I154,0)</f>
        <v>15.856427689464624</v>
      </c>
      <c r="L154" s="110">
        <f>IF(Design!$H$18="x",J154,0)</f>
        <v>30.245392039122201</v>
      </c>
      <c r="M154" s="120"/>
      <c r="N154" s="110">
        <f t="shared" ref="N154:P155" si="167">N153</f>
        <v>1.8984385782266853</v>
      </c>
      <c r="O154" s="110">
        <f t="shared" si="167"/>
        <v>416.04159869292658</v>
      </c>
      <c r="P154" s="154">
        <f t="shared" si="167"/>
        <v>1597.9242068887927</v>
      </c>
      <c r="S154" s="223">
        <f t="shared" ref="S154:S156" si="168">P154/2</f>
        <v>798.96210344439635</v>
      </c>
      <c r="T154" s="224">
        <f t="shared" si="153"/>
        <v>-798.96210344439635</v>
      </c>
      <c r="U154" s="229">
        <f t="shared" si="154"/>
        <v>0.21487883582835821</v>
      </c>
      <c r="V154" s="221"/>
      <c r="W154" s="218">
        <f t="shared" si="155"/>
        <v>798.85466402648217</v>
      </c>
      <c r="X154" s="221"/>
      <c r="Y154" s="202">
        <f t="shared" si="159"/>
        <v>798.85466402648217</v>
      </c>
      <c r="Z154" s="203">
        <f t="shared" si="160"/>
        <v>-798.85466402648217</v>
      </c>
      <c r="AA154" s="221"/>
      <c r="AB154" s="202">
        <f t="shared" ref="AB154:AB165" si="169">Y154</f>
        <v>798.85466402648217</v>
      </c>
      <c r="AC154" s="203">
        <f t="shared" ref="AC154:AC156" si="170">-AB154</f>
        <v>-798.85466402648217</v>
      </c>
      <c r="AD154" s="221"/>
      <c r="AE154" s="202">
        <f t="shared" si="163"/>
        <v>798.85466402648217</v>
      </c>
      <c r="AF154" s="203">
        <f t="shared" si="162"/>
        <v>-798.85466402648217</v>
      </c>
      <c r="AG154" s="43">
        <f>IF(C152&gt;0,L154,"")</f>
        <v>30.245392039122201</v>
      </c>
      <c r="AH154" s="43">
        <f>O153</f>
        <v>416.04159869292658</v>
      </c>
      <c r="AI154" s="43">
        <f>$R$165/2</f>
        <v>906.41522996686899</v>
      </c>
    </row>
    <row r="155" spans="1:44" s="12" customFormat="1" ht="11.25" x14ac:dyDescent="0.2">
      <c r="B155" s="9">
        <f t="shared" si="115"/>
        <v>4</v>
      </c>
      <c r="C155" s="38">
        <f>C152+1</f>
        <v>46</v>
      </c>
      <c r="D155" s="129">
        <f>(D152+D164)/2</f>
        <v>1.9</v>
      </c>
      <c r="E155" s="130">
        <f>E154+(D154-D155)*O4</f>
        <v>30.810625540493749</v>
      </c>
      <c r="F155" s="131"/>
      <c r="G155" s="113">
        <f>IF(Design!$H$19="x",D155,0)</f>
        <v>0</v>
      </c>
      <c r="H155" s="113">
        <f>IF(Design!$H$19="x",E155,0)</f>
        <v>0</v>
      </c>
      <c r="I155" s="132"/>
      <c r="J155" s="133"/>
      <c r="K155" s="113">
        <f>K154</f>
        <v>15.856427689464624</v>
      </c>
      <c r="L155" s="113">
        <f>L154</f>
        <v>30.245392039122201</v>
      </c>
      <c r="M155" s="118"/>
      <c r="N155" s="113">
        <f t="shared" si="167"/>
        <v>1.8984385782266853</v>
      </c>
      <c r="O155" s="113">
        <f t="shared" si="167"/>
        <v>416.04159869292658</v>
      </c>
      <c r="P155" s="155">
        <f t="shared" si="167"/>
        <v>1597.9242068887927</v>
      </c>
      <c r="Q155" s="43">
        <f>ATAN((E154-E155)/(D154-D155))*180/PI()</f>
        <v>-2.319204135817424</v>
      </c>
      <c r="R155" s="43"/>
      <c r="S155" s="223">
        <f t="shared" si="168"/>
        <v>798.96210344439635</v>
      </c>
      <c r="T155" s="224">
        <f t="shared" si="153"/>
        <v>-798.96210344439635</v>
      </c>
      <c r="U155" s="229">
        <f t="shared" si="154"/>
        <v>0.21487883582835821</v>
      </c>
      <c r="V155" s="221"/>
      <c r="W155" s="218">
        <f t="shared" si="155"/>
        <v>798.85466402648217</v>
      </c>
      <c r="X155" s="221"/>
      <c r="Y155" s="202">
        <f t="shared" si="159"/>
        <v>798.85466402648217</v>
      </c>
      <c r="Z155" s="203">
        <f t="shared" si="160"/>
        <v>-798.85466402648217</v>
      </c>
      <c r="AA155" s="221"/>
      <c r="AB155" s="202">
        <f t="shared" si="169"/>
        <v>798.85466402648217</v>
      </c>
      <c r="AC155" s="203">
        <f t="shared" si="170"/>
        <v>-798.85466402648217</v>
      </c>
      <c r="AD155" s="221"/>
      <c r="AE155" s="202">
        <f t="shared" si="163"/>
        <v>798.85466402648217</v>
      </c>
      <c r="AF155" s="203">
        <f t="shared" si="162"/>
        <v>-798.85466402648217</v>
      </c>
      <c r="AG155" s="43">
        <f>IF(C152&gt;0,L155,"")</f>
        <v>30.245392039122201</v>
      </c>
      <c r="AH155" s="43">
        <f>AH154</f>
        <v>416.04159869292658</v>
      </c>
      <c r="AI155" s="43">
        <f>-AI154</f>
        <v>-906.41522996686899</v>
      </c>
    </row>
    <row r="156" spans="1:44" s="12" customFormat="1" ht="11.25" x14ac:dyDescent="0.2">
      <c r="C156" s="9"/>
      <c r="D156" s="134"/>
      <c r="E156" s="135"/>
      <c r="F156" s="135"/>
      <c r="G156" s="135"/>
      <c r="H156" s="135"/>
      <c r="I156" s="135"/>
      <c r="J156" s="135"/>
      <c r="K156" s="125">
        <f>K155</f>
        <v>15.856427689464624</v>
      </c>
      <c r="L156" s="125">
        <f>L155</f>
        <v>30.245392039122201</v>
      </c>
      <c r="M156" s="184">
        <f>((D154-D155)^2+(E154-E155)^2)^0.5</f>
        <v>27.935737882671198</v>
      </c>
      <c r="N156" s="113">
        <f>((I154-I151)^2+(J154-J151)^2)^0.5</f>
        <v>0</v>
      </c>
      <c r="O156" s="113">
        <f>O153+N156</f>
        <v>416.04159869292658</v>
      </c>
      <c r="P156" s="155">
        <f>((D154-D155)^2+(E154-E155)^2)^0.5*Panels!$T$114</f>
        <v>1597.9242068887927</v>
      </c>
      <c r="S156" s="223">
        <f t="shared" si="168"/>
        <v>798.96210344439635</v>
      </c>
      <c r="T156" s="224">
        <f t="shared" si="153"/>
        <v>-798.96210344439635</v>
      </c>
      <c r="U156" s="229">
        <f t="shared" si="154"/>
        <v>0.21487883582835821</v>
      </c>
      <c r="V156" s="221"/>
      <c r="W156" s="218">
        <f t="shared" si="155"/>
        <v>798.85466402648217</v>
      </c>
      <c r="X156" s="221"/>
      <c r="Y156" s="202">
        <f t="shared" si="159"/>
        <v>798.85466402648217</v>
      </c>
      <c r="Z156" s="203">
        <f t="shared" si="160"/>
        <v>-798.85466402648217</v>
      </c>
      <c r="AA156" s="221"/>
      <c r="AB156" s="202">
        <f t="shared" si="169"/>
        <v>798.85466402648217</v>
      </c>
      <c r="AC156" s="203">
        <f t="shared" si="170"/>
        <v>-798.85466402648217</v>
      </c>
      <c r="AD156" s="221"/>
      <c r="AE156" s="202">
        <f t="shared" ref="AE156:AE165" si="171">Y156</f>
        <v>798.85466402648217</v>
      </c>
      <c r="AF156" s="203">
        <f t="shared" ref="AF156" si="172">-AE156</f>
        <v>-798.85466402648217</v>
      </c>
      <c r="AG156" s="43">
        <f>IF(C152&gt;0,L156,"")</f>
        <v>30.245392039122201</v>
      </c>
      <c r="AJ156" s="43">
        <f>AJ153+N156</f>
        <v>416.04159869292658</v>
      </c>
    </row>
    <row r="157" spans="1:44" s="12" customFormat="1" ht="11.25" x14ac:dyDescent="0.2">
      <c r="C157" s="9"/>
      <c r="D157" s="137">
        <f>Path!AS16</f>
        <v>31.269654462761729</v>
      </c>
      <c r="E157" s="137">
        <f>Path!AT16</f>
        <v>47.621109918024331</v>
      </c>
      <c r="F157" s="138"/>
      <c r="G157" s="113">
        <f>IF(Design!$H$19="x",D157,0)</f>
        <v>0</v>
      </c>
      <c r="H157" s="113">
        <f>IF(Design!$H$19="x",E157,0)</f>
        <v>0</v>
      </c>
      <c r="I157" s="130">
        <f>SUM(D157:D158)/2</f>
        <v>16.584827231380864</v>
      </c>
      <c r="J157" s="130">
        <f>SUM(E157:E158)/2</f>
        <v>48.215843505853215</v>
      </c>
      <c r="K157" s="110">
        <f>IF(Design!$H$18="x",I157,0)</f>
        <v>16.584827231380864</v>
      </c>
      <c r="L157" s="110">
        <f>IF(Design!$H$18="x",J157,0)</f>
        <v>48.215843505853215</v>
      </c>
      <c r="M157" s="120"/>
      <c r="N157" s="110">
        <f t="shared" ref="N157:P157" si="173">N156</f>
        <v>0</v>
      </c>
      <c r="O157" s="110">
        <f t="shared" si="173"/>
        <v>416.04159869292658</v>
      </c>
      <c r="P157" s="154">
        <f t="shared" si="173"/>
        <v>1597.9242068887927</v>
      </c>
      <c r="S157" s="223">
        <f t="shared" ref="S157:S162" si="174">P157/2</f>
        <v>798.96210344439635</v>
      </c>
      <c r="T157" s="224">
        <f t="shared" ref="T157:T162" si="175">-S157</f>
        <v>-798.96210344439635</v>
      </c>
      <c r="U157" s="229">
        <f t="shared" si="154"/>
        <v>0.21487883582835821</v>
      </c>
      <c r="V157" s="221"/>
      <c r="W157" s="218">
        <f t="shared" si="155"/>
        <v>798.85466402648217</v>
      </c>
      <c r="X157" s="221"/>
      <c r="Y157" s="202">
        <f t="shared" si="159"/>
        <v>798.85466402648217</v>
      </c>
      <c r="Z157" s="203">
        <f t="shared" ref="Z157:Z162" si="176">-Y157</f>
        <v>-798.85466402648217</v>
      </c>
      <c r="AA157" s="221"/>
      <c r="AB157" s="202">
        <f t="shared" si="169"/>
        <v>798.85466402648217</v>
      </c>
      <c r="AC157" s="203">
        <f t="shared" si="162"/>
        <v>-798.85466402648217</v>
      </c>
      <c r="AD157" s="221"/>
      <c r="AE157" s="202">
        <f t="shared" si="171"/>
        <v>798.85466402648217</v>
      </c>
      <c r="AF157" s="203">
        <f t="shared" si="162"/>
        <v>-798.85466402648217</v>
      </c>
      <c r="AG157" s="43">
        <f>IF(C155&gt;0,L157,"")</f>
        <v>48.215843505853215</v>
      </c>
      <c r="AH157" s="43">
        <f>O156</f>
        <v>416.04159869292658</v>
      </c>
      <c r="AI157" s="43">
        <f>$R$165/2</f>
        <v>906.41522996686899</v>
      </c>
    </row>
    <row r="158" spans="1:44" s="12" customFormat="1" ht="11.25" x14ac:dyDescent="0.2">
      <c r="A158" s="9" t="s">
        <v>14</v>
      </c>
      <c r="B158" s="9">
        <f>B161+1</f>
        <v>3</v>
      </c>
      <c r="C158" s="38">
        <f>C155+1</f>
        <v>47</v>
      </c>
      <c r="D158" s="129">
        <f>(D149+D155)/2</f>
        <v>1.9</v>
      </c>
      <c r="E158" s="130">
        <f>E157+(D157-D158)*O4</f>
        <v>48.810577093682099</v>
      </c>
      <c r="F158" s="131"/>
      <c r="G158" s="113">
        <f>IF(Design!$H$19="x",D158,0)</f>
        <v>0</v>
      </c>
      <c r="H158" s="113">
        <f>IF(Design!$H$19="x",E158,0)</f>
        <v>0</v>
      </c>
      <c r="I158" s="132"/>
      <c r="J158" s="133"/>
      <c r="K158" s="113">
        <f>K157</f>
        <v>16.584827231380864</v>
      </c>
      <c r="L158" s="113">
        <f>L157</f>
        <v>48.215843505853215</v>
      </c>
      <c r="M158" s="118"/>
      <c r="N158" s="113">
        <f t="shared" ref="N158:P158" si="177">N157</f>
        <v>0</v>
      </c>
      <c r="O158" s="113">
        <f t="shared" si="177"/>
        <v>416.04159869292658</v>
      </c>
      <c r="P158" s="155">
        <f t="shared" si="177"/>
        <v>1597.9242068887927</v>
      </c>
      <c r="Q158" s="43">
        <f>ATAN((E157-E158)/(D157-D158))*180/PI()</f>
        <v>-2.3192041358174218</v>
      </c>
      <c r="R158" s="43"/>
      <c r="S158" s="223">
        <f t="shared" si="174"/>
        <v>798.96210344439635</v>
      </c>
      <c r="T158" s="224">
        <f t="shared" si="175"/>
        <v>-798.96210344439635</v>
      </c>
      <c r="U158" s="229">
        <f t="shared" si="154"/>
        <v>0.21487883582835821</v>
      </c>
      <c r="V158" s="221"/>
      <c r="W158" s="218">
        <f t="shared" si="155"/>
        <v>798.85466402648217</v>
      </c>
      <c r="X158" s="221"/>
      <c r="Y158" s="202">
        <f t="shared" si="159"/>
        <v>798.85466402648217</v>
      </c>
      <c r="Z158" s="203">
        <f t="shared" si="176"/>
        <v>-798.85466402648217</v>
      </c>
      <c r="AA158" s="221"/>
      <c r="AB158" s="202">
        <f t="shared" si="169"/>
        <v>798.85466402648217</v>
      </c>
      <c r="AC158" s="203">
        <f t="shared" si="162"/>
        <v>-798.85466402648217</v>
      </c>
      <c r="AD158" s="221"/>
      <c r="AE158" s="202">
        <f t="shared" si="171"/>
        <v>798.85466402648217</v>
      </c>
      <c r="AF158" s="203">
        <f t="shared" si="162"/>
        <v>-798.85466402648217</v>
      </c>
      <c r="AG158" s="43">
        <f>IF(C155&gt;0,L158,"")</f>
        <v>48.215843505853215</v>
      </c>
      <c r="AH158" s="43">
        <f>AH157</f>
        <v>416.04159869292658</v>
      </c>
      <c r="AI158" s="43">
        <f>-AI157</f>
        <v>-906.41522996686899</v>
      </c>
    </row>
    <row r="159" spans="1:44" s="12" customFormat="1" ht="11.25" x14ac:dyDescent="0.2">
      <c r="A159" s="9"/>
      <c r="B159" s="9"/>
      <c r="C159" s="9"/>
      <c r="D159" s="134"/>
      <c r="E159" s="135"/>
      <c r="F159" s="135"/>
      <c r="G159" s="135"/>
      <c r="H159" s="135"/>
      <c r="I159" s="135"/>
      <c r="J159" s="135"/>
      <c r="K159" s="125">
        <f>K158</f>
        <v>16.584827231380864</v>
      </c>
      <c r="L159" s="125">
        <f>L158</f>
        <v>48.215843505853215</v>
      </c>
      <c r="M159" s="184">
        <f>((D157-D158)^2+(E157-E158)^2)^0.5</f>
        <v>29.393731226640611</v>
      </c>
      <c r="N159" s="113">
        <f>((I157-I154)^2+(J157-J154)^2)^0.5</f>
        <v>17.985207583200108</v>
      </c>
      <c r="O159" s="113">
        <f>O156+N159</f>
        <v>434.02680627612671</v>
      </c>
      <c r="P159" s="155">
        <f>((D157-D158)^2+(E157-E158)^2)^0.5*Panels!$T$114</f>
        <v>1681.3214261638429</v>
      </c>
      <c r="S159" s="223">
        <f t="shared" si="174"/>
        <v>840.66071308192147</v>
      </c>
      <c r="T159" s="224">
        <f t="shared" si="175"/>
        <v>-840.66071308192147</v>
      </c>
      <c r="U159" s="229">
        <f t="shared" si="154"/>
        <v>0.1321352304382799</v>
      </c>
      <c r="V159" s="221"/>
      <c r="W159" s="218">
        <f t="shared" si="155"/>
        <v>840.59464546670233</v>
      </c>
      <c r="X159" s="221"/>
      <c r="Y159" s="202">
        <f t="shared" si="159"/>
        <v>840.59464546670233</v>
      </c>
      <c r="Z159" s="203">
        <f t="shared" si="176"/>
        <v>-840.59464546670233</v>
      </c>
      <c r="AA159" s="221"/>
      <c r="AB159" s="202">
        <f t="shared" si="169"/>
        <v>840.59464546670233</v>
      </c>
      <c r="AC159" s="203">
        <f t="shared" si="162"/>
        <v>-840.59464546670233</v>
      </c>
      <c r="AD159" s="221"/>
      <c r="AE159" s="202">
        <f t="shared" si="171"/>
        <v>840.59464546670233</v>
      </c>
      <c r="AF159" s="203">
        <f t="shared" si="162"/>
        <v>-840.59464546670233</v>
      </c>
      <c r="AG159" s="43">
        <f>IF(C155&gt;0,L159,"")</f>
        <v>48.215843505853215</v>
      </c>
      <c r="AJ159" s="43">
        <f>AJ156+N159</f>
        <v>434.02680627612671</v>
      </c>
    </row>
    <row r="160" spans="1:44" s="12" customFormat="1" ht="11.25" x14ac:dyDescent="0.2">
      <c r="C160" s="9"/>
      <c r="D160" s="137">
        <f>Panels!C15</f>
        <v>1.9</v>
      </c>
      <c r="E160" s="139">
        <f>Panels!D15</f>
        <v>76.835000000000008</v>
      </c>
      <c r="F160" s="138"/>
      <c r="G160" s="110">
        <f>IF(Design!$H$19="x",D160,0)</f>
        <v>0</v>
      </c>
      <c r="H160" s="110">
        <f>IF(Design!$H$19="x",E160,0)</f>
        <v>0</v>
      </c>
      <c r="I160" s="139">
        <f>SUM(D160:D161)/2</f>
        <v>17.718841974401442</v>
      </c>
      <c r="J160" s="139">
        <f>SUM(E160:E161)/2</f>
        <v>76.193812896971707</v>
      </c>
      <c r="K160" s="110">
        <f>IF(Design!$H$18="x",I160,0)</f>
        <v>17.718841974401442</v>
      </c>
      <c r="L160" s="110">
        <f>IF(Design!$H$18="x",J160,0)</f>
        <v>76.193812896971707</v>
      </c>
      <c r="M160" s="120"/>
      <c r="N160" s="110">
        <f t="shared" ref="N160:P160" si="178">N159</f>
        <v>17.985207583200108</v>
      </c>
      <c r="O160" s="110">
        <f t="shared" si="178"/>
        <v>434.02680627612671</v>
      </c>
      <c r="P160" s="154">
        <f t="shared" si="178"/>
        <v>1681.3214261638429</v>
      </c>
      <c r="S160" s="223">
        <f t="shared" si="174"/>
        <v>840.66071308192147</v>
      </c>
      <c r="T160" s="224">
        <f t="shared" si="175"/>
        <v>-840.66071308192147</v>
      </c>
      <c r="U160" s="229">
        <f t="shared" si="154"/>
        <v>0.1321352304382799</v>
      </c>
      <c r="V160" s="221"/>
      <c r="W160" s="218">
        <f t="shared" si="155"/>
        <v>840.59464546670233</v>
      </c>
      <c r="X160" s="221"/>
      <c r="Y160" s="202">
        <f t="shared" si="159"/>
        <v>840.59464546670233</v>
      </c>
      <c r="Z160" s="203">
        <f t="shared" si="176"/>
        <v>-840.59464546670233</v>
      </c>
      <c r="AA160" s="221"/>
      <c r="AB160" s="202">
        <f t="shared" si="169"/>
        <v>840.59464546670233</v>
      </c>
      <c r="AC160" s="203">
        <f t="shared" si="162"/>
        <v>-840.59464546670233</v>
      </c>
      <c r="AD160" s="221"/>
      <c r="AE160" s="202">
        <f t="shared" si="171"/>
        <v>840.59464546670233</v>
      </c>
      <c r="AF160" s="203">
        <f t="shared" si="162"/>
        <v>-840.59464546670233</v>
      </c>
      <c r="AG160" s="43">
        <f>IF(C158&gt;0,L160,"")</f>
        <v>76.193812896971707</v>
      </c>
      <c r="AH160" s="43">
        <f>O159</f>
        <v>434.02680627612671</v>
      </c>
      <c r="AI160" s="43">
        <f>$R$165/2</f>
        <v>906.41522996686899</v>
      </c>
      <c r="AL160" s="9" t="s">
        <v>30</v>
      </c>
      <c r="AM160" s="43">
        <f>Panels!C37</f>
        <v>29.81285537892925</v>
      </c>
      <c r="AN160" s="43">
        <f>Panels!D37</f>
        <v>29.68015853775065</v>
      </c>
      <c r="AO160" s="43">
        <f>Panels!C36</f>
        <v>33.654298627389551</v>
      </c>
      <c r="AP160" s="43">
        <f>Panels!D36</f>
        <v>76.98877323662677</v>
      </c>
      <c r="AQ160" s="107">
        <f>(AP160-AN160)/(AO160-AM160)</f>
        <v>12.31532308015692</v>
      </c>
      <c r="AR160" s="107">
        <f>(AP160*AM160-AN160*AO160)/(AM160-AO160)</f>
        <v>-337.47478739575706</v>
      </c>
    </row>
    <row r="161" spans="1:47" s="12" customFormat="1" ht="11.25" x14ac:dyDescent="0.2">
      <c r="B161" s="9">
        <f>B164+1</f>
        <v>2</v>
      </c>
      <c r="C161" s="38">
        <f>C158+1</f>
        <v>48</v>
      </c>
      <c r="D161" s="129">
        <f>AS161</f>
        <v>33.537683948802886</v>
      </c>
      <c r="E161" s="130">
        <f>AT161</f>
        <v>75.552625793943392</v>
      </c>
      <c r="F161" s="131"/>
      <c r="G161" s="113">
        <f>IF(Design!$H$19="x",D161,0)</f>
        <v>0</v>
      </c>
      <c r="H161" s="113">
        <f>IF(Design!$H$19="x",E161,0)</f>
        <v>0</v>
      </c>
      <c r="I161" s="132"/>
      <c r="J161" s="133"/>
      <c r="K161" s="113">
        <f>K160</f>
        <v>17.718841974401442</v>
      </c>
      <c r="L161" s="113">
        <f>L160</f>
        <v>76.193812896971707</v>
      </c>
      <c r="M161" s="118"/>
      <c r="N161" s="113">
        <f t="shared" ref="N161:P161" si="179">N160</f>
        <v>17.985207583200108</v>
      </c>
      <c r="O161" s="113">
        <f t="shared" si="179"/>
        <v>434.02680627612671</v>
      </c>
      <c r="P161" s="155">
        <f t="shared" si="179"/>
        <v>1681.3214261638429</v>
      </c>
      <c r="Q161" s="43">
        <f>ATAN((E160-E161)/(D160-D161))*180/PI()</f>
        <v>-2.3211064218795472</v>
      </c>
      <c r="S161" s="223">
        <f t="shared" si="174"/>
        <v>840.66071308192147</v>
      </c>
      <c r="T161" s="224">
        <f t="shared" si="175"/>
        <v>-840.66071308192147</v>
      </c>
      <c r="U161" s="229">
        <f t="shared" si="154"/>
        <v>0.1321352304382799</v>
      </c>
      <c r="V161" s="221"/>
      <c r="W161" s="218">
        <f t="shared" si="155"/>
        <v>840.59464546670233</v>
      </c>
      <c r="X161" s="221"/>
      <c r="Y161" s="202">
        <f t="shared" si="159"/>
        <v>840.59464546670233</v>
      </c>
      <c r="Z161" s="203">
        <f t="shared" si="176"/>
        <v>-840.59464546670233</v>
      </c>
      <c r="AA161" s="221"/>
      <c r="AB161" s="202">
        <f t="shared" si="169"/>
        <v>840.59464546670233</v>
      </c>
      <c r="AC161" s="203">
        <f t="shared" si="162"/>
        <v>-840.59464546670233</v>
      </c>
      <c r="AD161" s="221"/>
      <c r="AE161" s="202">
        <f t="shared" si="171"/>
        <v>840.59464546670233</v>
      </c>
      <c r="AF161" s="203">
        <f t="shared" si="162"/>
        <v>-840.59464546670233</v>
      </c>
      <c r="AG161" s="43">
        <f>IF(C158&gt;0,L161,"")</f>
        <v>76.193812896971707</v>
      </c>
      <c r="AH161" s="43">
        <f>AH160</f>
        <v>434.02680627612671</v>
      </c>
      <c r="AI161" s="43">
        <f>-AI160</f>
        <v>-906.41522996686899</v>
      </c>
      <c r="AL161" s="9" t="s">
        <v>131</v>
      </c>
      <c r="AM161" s="43">
        <f>Panels!C15</f>
        <v>1.9</v>
      </c>
      <c r="AN161" s="43">
        <f>Panels!D15</f>
        <v>76.835000000000008</v>
      </c>
      <c r="AO161" s="43">
        <f>AM161+100*Panels!X6</f>
        <v>101.81795437073151</v>
      </c>
      <c r="AP161" s="43">
        <f>AN161-100*Panels!Y6</f>
        <v>72.785013040957253</v>
      </c>
      <c r="AQ161" s="107">
        <f>(AP161-AN161)/(AO161-AM161)</f>
        <v>-4.0533125248099537E-2</v>
      </c>
      <c r="AR161" s="107">
        <f>(AP161*AM161-AN161*AO161)/(AM161-AO161)</f>
        <v>76.912012937971397</v>
      </c>
      <c r="AS161" s="43">
        <f>(AR160-AR161)/(AQ161-AQ160)</f>
        <v>33.537683948802886</v>
      </c>
      <c r="AT161" s="43">
        <f>AS161*AQ161+AR161</f>
        <v>75.552625793943392</v>
      </c>
    </row>
    <row r="162" spans="1:47" s="12" customFormat="1" ht="11.25" x14ac:dyDescent="0.2">
      <c r="C162" s="9"/>
      <c r="D162" s="134"/>
      <c r="E162" s="135"/>
      <c r="F162" s="135"/>
      <c r="G162" s="135"/>
      <c r="H162" s="135"/>
      <c r="I162" s="135"/>
      <c r="J162" s="135"/>
      <c r="K162" s="125">
        <f>K161</f>
        <v>17.718841974401442</v>
      </c>
      <c r="L162" s="125">
        <f>L161</f>
        <v>76.193812896971707</v>
      </c>
      <c r="M162" s="184">
        <f>((D160-D161)^2+(E160-E161)^2)^0.5</f>
        <v>31.663662600032538</v>
      </c>
      <c r="N162" s="113">
        <f>((I160-I157)^2+(J160-J157)^2)^0.5</f>
        <v>28.000942139287943</v>
      </c>
      <c r="O162" s="113">
        <f>O159+N162</f>
        <v>462.02774841541464</v>
      </c>
      <c r="P162" s="155">
        <f>((D160-D161)^2+(E160-E161)^2)^0.5*Panels!$T$114</f>
        <v>1811.1615007218613</v>
      </c>
      <c r="S162" s="223">
        <f t="shared" si="174"/>
        <v>905.58075036093067</v>
      </c>
      <c r="T162" s="224">
        <f t="shared" si="175"/>
        <v>-905.58075036093067</v>
      </c>
      <c r="U162" s="229">
        <f t="shared" si="154"/>
        <v>3.311759802954839E-3</v>
      </c>
      <c r="V162" s="221"/>
      <c r="W162" s="218">
        <f t="shared" si="155"/>
        <v>905.57909448102919</v>
      </c>
      <c r="X162" s="221"/>
      <c r="Y162" s="202">
        <f t="shared" si="159"/>
        <v>905.57909448102919</v>
      </c>
      <c r="Z162" s="203">
        <f t="shared" si="176"/>
        <v>-905.57909448102919</v>
      </c>
      <c r="AA162" s="221"/>
      <c r="AB162" s="202">
        <f t="shared" si="169"/>
        <v>905.57909448102919</v>
      </c>
      <c r="AC162" s="203">
        <f t="shared" si="162"/>
        <v>-905.57909448102919</v>
      </c>
      <c r="AD162" s="221"/>
      <c r="AE162" s="202">
        <f t="shared" si="171"/>
        <v>905.57909448102919</v>
      </c>
      <c r="AF162" s="203">
        <f t="shared" si="162"/>
        <v>-905.57909448102919</v>
      </c>
      <c r="AG162" s="43">
        <f>IF(C158&gt;0,L162,"")</f>
        <v>76.193812896971707</v>
      </c>
      <c r="AJ162" s="43">
        <f>AJ159+N162</f>
        <v>462.02774841541464</v>
      </c>
    </row>
    <row r="163" spans="1:47" x14ac:dyDescent="0.2">
      <c r="A163" s="12"/>
      <c r="B163" s="12"/>
      <c r="C163" s="9"/>
      <c r="D163" s="137">
        <f>(Panels!C36+D161)/2</f>
        <v>33.595991288096215</v>
      </c>
      <c r="E163" s="139">
        <f>(Panels!D36+E161)/2</f>
        <v>76.270699515285088</v>
      </c>
      <c r="F163" s="138"/>
      <c r="G163" s="110">
        <f>IF(Design!$H$19="x",D163,0)</f>
        <v>0</v>
      </c>
      <c r="H163" s="110">
        <f>IF(Design!$H$19="x",E163,0)</f>
        <v>0</v>
      </c>
      <c r="I163" s="139">
        <f>SUM(D163:D164)/2</f>
        <v>17.747995644048107</v>
      </c>
      <c r="J163" s="139">
        <f>SUM(E163:E164)/2</f>
        <v>76.91306830765663</v>
      </c>
      <c r="K163" s="139">
        <f>IF(Design!$H$18="x",I163,0)</f>
        <v>17.747995644048107</v>
      </c>
      <c r="L163" s="110">
        <f>IF(Design!$H$18="x",J163,0)</f>
        <v>76.91306830765663</v>
      </c>
      <c r="M163" s="120"/>
      <c r="N163" s="110">
        <f t="shared" ref="N163:P163" si="180">N162</f>
        <v>28.000942139287943</v>
      </c>
      <c r="O163" s="110">
        <f t="shared" si="180"/>
        <v>462.02774841541464</v>
      </c>
      <c r="P163" s="154">
        <f t="shared" si="180"/>
        <v>1811.1615007218613</v>
      </c>
      <c r="Q163" s="12"/>
      <c r="R163" s="12"/>
      <c r="S163" s="223">
        <f t="shared" ref="S163:S165" si="181">P163/2</f>
        <v>905.58075036093067</v>
      </c>
      <c r="T163" s="224">
        <f t="shared" ref="T163:T165" si="182">-S163</f>
        <v>-905.58075036093067</v>
      </c>
      <c r="U163" s="229">
        <f t="shared" si="154"/>
        <v>3.311759802954839E-3</v>
      </c>
      <c r="V163" s="221"/>
      <c r="W163" s="218">
        <f t="shared" si="155"/>
        <v>905.57909448102919</v>
      </c>
      <c r="X163" s="221"/>
      <c r="Y163" s="202">
        <f t="shared" si="159"/>
        <v>905.57909448102919</v>
      </c>
      <c r="Z163" s="203">
        <f t="shared" ref="Z163:Z165" si="183">-Y163</f>
        <v>-905.57909448102919</v>
      </c>
      <c r="AA163" s="221"/>
      <c r="AB163" s="202">
        <f t="shared" si="169"/>
        <v>905.57909448102919</v>
      </c>
      <c r="AC163" s="203">
        <f t="shared" si="162"/>
        <v>-905.57909448102919</v>
      </c>
      <c r="AD163" s="221"/>
      <c r="AE163" s="202">
        <f t="shared" si="171"/>
        <v>905.57909448102919</v>
      </c>
      <c r="AF163" s="203">
        <f t="shared" si="162"/>
        <v>-905.57909448102919</v>
      </c>
      <c r="AG163" s="43">
        <f>IF(C161&gt;0,L163,"")</f>
        <v>76.91306830765663</v>
      </c>
      <c r="AH163" s="43">
        <f>O162</f>
        <v>462.02774841541464</v>
      </c>
      <c r="AI163" s="43">
        <f>$R$165/2</f>
        <v>906.41522996686899</v>
      </c>
      <c r="AJ163" s="12"/>
      <c r="AL163" s="9" t="s">
        <v>131</v>
      </c>
      <c r="AM163" s="43">
        <f>D163</f>
        <v>33.595991288096215</v>
      </c>
      <c r="AN163" s="43">
        <f>E163</f>
        <v>76.270699515285088</v>
      </c>
      <c r="AO163" s="43">
        <f>AM163-100*Panels!X6</f>
        <v>-66.321963082635293</v>
      </c>
      <c r="AP163" s="43">
        <f>AN163+100*Panels!Y6</f>
        <v>80.320686474327843</v>
      </c>
      <c r="AQ163" s="107">
        <f>(AP163-AN163)/(AO163-AM163)</f>
        <v>-4.0533125248099537E-2</v>
      </c>
      <c r="AR163" s="107">
        <f>(AP163*AM163-AN163*AO163)/(AM163-AO163)</f>
        <v>77.632450037999547</v>
      </c>
      <c r="AS163" s="12"/>
      <c r="AT163" s="12"/>
      <c r="AU163" s="12"/>
    </row>
    <row r="164" spans="1:47" x14ac:dyDescent="0.2">
      <c r="A164" s="9" t="s">
        <v>54</v>
      </c>
      <c r="B164" s="9">
        <v>1</v>
      </c>
      <c r="C164" s="38">
        <f>C161+1</f>
        <v>49</v>
      </c>
      <c r="D164" s="129">
        <f>D152</f>
        <v>1.9</v>
      </c>
      <c r="E164" s="130">
        <f>AT164</f>
        <v>77.555437100028158</v>
      </c>
      <c r="F164" s="131"/>
      <c r="G164" s="113">
        <f>IF(Design!$H$19="x",D164,0)</f>
        <v>0</v>
      </c>
      <c r="H164" s="113">
        <f>IF(Design!$H$19="x",E164,0)</f>
        <v>0</v>
      </c>
      <c r="I164" s="132"/>
      <c r="J164" s="133"/>
      <c r="K164" s="130">
        <f>K163</f>
        <v>17.747995644048107</v>
      </c>
      <c r="L164" s="130">
        <f>L163</f>
        <v>76.91306830765663</v>
      </c>
      <c r="M164" s="118"/>
      <c r="N164" s="113">
        <f t="shared" ref="N164:P164" si="184">N163</f>
        <v>28.000942139287943</v>
      </c>
      <c r="O164" s="113">
        <f t="shared" si="184"/>
        <v>462.02774841541464</v>
      </c>
      <c r="P164" s="155">
        <f t="shared" si="184"/>
        <v>1811.1615007218613</v>
      </c>
      <c r="Q164" s="43">
        <f>ATAN((E163-E164)/(D163-D164))*180/PI()</f>
        <v>-2.3211064218795361</v>
      </c>
      <c r="R164" s="43"/>
      <c r="S164" s="223">
        <f t="shared" si="181"/>
        <v>905.58075036093067</v>
      </c>
      <c r="T164" s="224">
        <f t="shared" si="182"/>
        <v>-905.58075036093067</v>
      </c>
      <c r="U164" s="229">
        <f t="shared" si="154"/>
        <v>3.311759802954839E-3</v>
      </c>
      <c r="V164" s="221"/>
      <c r="W164" s="218">
        <f t="shared" si="155"/>
        <v>905.57909448102919</v>
      </c>
      <c r="X164" s="221"/>
      <c r="Y164" s="202">
        <f t="shared" si="159"/>
        <v>905.57909448102919</v>
      </c>
      <c r="Z164" s="203">
        <f t="shared" si="183"/>
        <v>-905.57909448102919</v>
      </c>
      <c r="AA164" s="221"/>
      <c r="AB164" s="202">
        <f t="shared" si="169"/>
        <v>905.57909448102919</v>
      </c>
      <c r="AC164" s="203">
        <f t="shared" si="162"/>
        <v>-905.57909448102919</v>
      </c>
      <c r="AD164" s="221"/>
      <c r="AE164" s="202">
        <f t="shared" si="171"/>
        <v>905.57909448102919</v>
      </c>
      <c r="AF164" s="203">
        <f t="shared" si="162"/>
        <v>-905.57909448102919</v>
      </c>
      <c r="AG164" s="43">
        <f>IF(C161&gt;0,L164,"")</f>
        <v>76.91306830765663</v>
      </c>
      <c r="AH164" s="43">
        <f>AH163</f>
        <v>462.02774841541464</v>
      </c>
      <c r="AI164" s="43">
        <f>-AI163</f>
        <v>-906.41522996686899</v>
      </c>
      <c r="AJ164" s="12"/>
      <c r="AL164" s="9" t="s">
        <v>131</v>
      </c>
      <c r="AM164" s="43">
        <f>Panels!C14</f>
        <v>1.9</v>
      </c>
      <c r="AN164" s="43">
        <f>Panels!D14</f>
        <v>0</v>
      </c>
      <c r="AO164" s="43">
        <f>Panels!C15</f>
        <v>1.9</v>
      </c>
      <c r="AP164" s="43">
        <f>Panels!D15</f>
        <v>76.835000000000008</v>
      </c>
      <c r="AQ164" s="107" t="str">
        <f>IF(AO164&lt;&gt;AM164,(AP164-AN164)/(AO164-AM164),"")</f>
        <v/>
      </c>
      <c r="AR164" s="107">
        <f>IF(AQ164&lt;&gt;"",(AP164*AM164-AN164*AO164)/(AM164-AO164),AM164)</f>
        <v>1.9</v>
      </c>
      <c r="AS164" s="43">
        <f>IF(AQ164&lt;&gt;"",(AR163-AR164)/(AQ164-AQ163),AM164)</f>
        <v>1.9</v>
      </c>
      <c r="AT164" s="43">
        <f>AS164*AQ163+AR163</f>
        <v>77.555437100028158</v>
      </c>
      <c r="AU164" s="12"/>
    </row>
    <row r="165" spans="1:47" x14ac:dyDescent="0.2">
      <c r="C165" s="9"/>
      <c r="D165" s="134"/>
      <c r="E165" s="135"/>
      <c r="F165" s="135"/>
      <c r="G165" s="135"/>
      <c r="H165" s="135"/>
      <c r="I165" s="135"/>
      <c r="J165" s="135"/>
      <c r="K165" s="136">
        <f>K164</f>
        <v>17.747995644048107</v>
      </c>
      <c r="L165" s="136">
        <f>L164</f>
        <v>76.91306830765663</v>
      </c>
      <c r="M165" s="184">
        <f>((D163-D164)^2+(E163-E164)^2)^0.5</f>
        <v>31.722017817231027</v>
      </c>
      <c r="N165" s="113">
        <f>((I163-I160)^2+(J163-J160)^2)^0.5</f>
        <v>0.71984601287595118</v>
      </c>
      <c r="O165" s="113">
        <f>O162+N165</f>
        <v>462.7475944282906</v>
      </c>
      <c r="P165" s="155">
        <f>((D163-D164)^2+(E163-E164)^2)^0.5*Panels!$T$114</f>
        <v>1814.4994191456149</v>
      </c>
      <c r="Q165" s="5">
        <f>($O$162+O165)/2</f>
        <v>462.38767142185259</v>
      </c>
      <c r="R165" s="38">
        <f>($P$162+P165)/2</f>
        <v>1812.830459933738</v>
      </c>
      <c r="S165" s="225">
        <f t="shared" si="181"/>
        <v>907.24970957280743</v>
      </c>
      <c r="T165" s="226">
        <f t="shared" si="182"/>
        <v>-907.24970957280743</v>
      </c>
      <c r="U165" s="230">
        <f t="shared" si="154"/>
        <v>0</v>
      </c>
      <c r="V165" s="238"/>
      <c r="W165" s="231">
        <f t="shared" si="155"/>
        <v>907.24970957280743</v>
      </c>
      <c r="X165" s="238"/>
      <c r="Y165" s="202">
        <f t="shared" si="159"/>
        <v>907.24970957280743</v>
      </c>
      <c r="Z165" s="205">
        <f t="shared" si="183"/>
        <v>-907.24970957280743</v>
      </c>
      <c r="AA165" s="238"/>
      <c r="AB165" s="204">
        <f t="shared" si="169"/>
        <v>907.24970957280743</v>
      </c>
      <c r="AC165" s="205">
        <f t="shared" si="162"/>
        <v>-907.24970957280743</v>
      </c>
      <c r="AD165" s="238"/>
      <c r="AE165" s="204">
        <f t="shared" si="171"/>
        <v>907.24970957280743</v>
      </c>
      <c r="AF165" s="205">
        <f t="shared" si="162"/>
        <v>-907.24970957280743</v>
      </c>
      <c r="AG165" s="43">
        <f>IF(C161&gt;0,L165,"")</f>
        <v>76.91306830765663</v>
      </c>
      <c r="AH165" s="12"/>
      <c r="AI165" s="12"/>
      <c r="AJ165" s="43">
        <f>AJ162+N165</f>
        <v>462.7475944282906</v>
      </c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</row>
    <row r="166" spans="1:47" x14ac:dyDescent="0.2">
      <c r="C166" s="12"/>
      <c r="D166" s="140"/>
      <c r="E166" s="141"/>
      <c r="F166" s="142"/>
      <c r="G166" s="141"/>
      <c r="H166" s="141"/>
      <c r="I166" s="141"/>
      <c r="J166" s="141"/>
      <c r="K166" s="141"/>
      <c r="L166" s="141"/>
      <c r="M166" s="142"/>
      <c r="N166" s="141"/>
      <c r="O166" s="141"/>
      <c r="P166" s="143"/>
      <c r="Q166" s="12"/>
      <c r="R166" s="12"/>
      <c r="S166" s="108"/>
      <c r="T166" s="108"/>
      <c r="U166" s="12"/>
      <c r="V166" s="12"/>
      <c r="W166" s="12"/>
      <c r="X166" s="12"/>
      <c r="Y166" s="108"/>
      <c r="Z166" s="108"/>
      <c r="AA166" s="108"/>
      <c r="AB166" s="108"/>
      <c r="AC166" s="108"/>
      <c r="AD166" s="108"/>
      <c r="AE166" s="108"/>
      <c r="AF166" s="108"/>
      <c r="AG166" s="12"/>
      <c r="AH166" s="43"/>
      <c r="AI166" s="43"/>
      <c r="AJ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</row>
    <row r="167" spans="1:47" x14ac:dyDescent="0.2">
      <c r="C167" s="12"/>
      <c r="D167" s="144"/>
      <c r="E167" s="145"/>
      <c r="F167" s="146"/>
      <c r="G167" s="145"/>
      <c r="H167" s="145"/>
      <c r="I167" s="147"/>
      <c r="J167" s="148"/>
      <c r="K167" s="145"/>
      <c r="L167" s="145"/>
      <c r="M167" s="146"/>
      <c r="N167" s="145"/>
      <c r="O167" s="145"/>
      <c r="P167" s="149"/>
      <c r="Q167" s="12"/>
      <c r="R167" s="12"/>
      <c r="S167" s="108"/>
      <c r="T167" s="108"/>
      <c r="U167" s="12"/>
      <c r="V167" s="12"/>
      <c r="W167" s="12"/>
      <c r="X167" s="12"/>
      <c r="Y167" s="108"/>
      <c r="Z167" s="108"/>
      <c r="AA167" s="108"/>
      <c r="AB167" s="108"/>
      <c r="AC167" s="108"/>
      <c r="AD167" s="108"/>
      <c r="AE167" s="108"/>
      <c r="AF167" s="108"/>
      <c r="AG167" s="12"/>
      <c r="AH167" s="12"/>
      <c r="AI167" s="12"/>
      <c r="AJ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</row>
    <row r="168" spans="1:47" x14ac:dyDescent="0.2">
      <c r="D168" s="150"/>
      <c r="E168" s="151"/>
      <c r="F168" s="151"/>
      <c r="G168" s="151"/>
      <c r="H168" s="151"/>
      <c r="I168" s="151"/>
      <c r="J168" s="151"/>
      <c r="K168" s="152"/>
      <c r="L168" s="152"/>
      <c r="M168" s="151"/>
      <c r="N168" s="152"/>
      <c r="O168" s="152"/>
      <c r="P168" s="153"/>
      <c r="Q168" s="12"/>
      <c r="R168" s="12"/>
      <c r="S168" s="108"/>
      <c r="T168" s="108"/>
      <c r="U168" s="12"/>
      <c r="V168" s="12"/>
      <c r="W168" s="12"/>
      <c r="X168" s="12"/>
      <c r="Y168" s="108"/>
      <c r="Z168" s="108"/>
      <c r="AA168" s="108"/>
      <c r="AB168" s="108"/>
      <c r="AC168" s="108"/>
      <c r="AD168" s="108"/>
      <c r="AE168" s="108"/>
      <c r="AF168" s="108"/>
      <c r="AG168" s="12"/>
      <c r="AH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</row>
    <row r="169" spans="1:47" x14ac:dyDescent="0.2"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</row>
    <row r="170" spans="1:47" x14ac:dyDescent="0.2"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</row>
    <row r="171" spans="1:47" x14ac:dyDescent="0.2"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</row>
    <row r="172" spans="1:47" x14ac:dyDescent="0.2"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</row>
    <row r="173" spans="1:47" x14ac:dyDescent="0.2"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</row>
    <row r="174" spans="1:47" x14ac:dyDescent="0.2"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</row>
    <row r="175" spans="1:47" x14ac:dyDescent="0.2"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</row>
    <row r="176" spans="1:47" x14ac:dyDescent="0.2"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</row>
    <row r="177" spans="38:47" x14ac:dyDescent="0.2"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</row>
    <row r="178" spans="38:47" x14ac:dyDescent="0.2"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</row>
    <row r="179" spans="38:47" x14ac:dyDescent="0.2"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</row>
    <row r="180" spans="38:47" x14ac:dyDescent="0.2"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</row>
    <row r="181" spans="38:47" x14ac:dyDescent="0.2"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</row>
    <row r="182" spans="38:47" x14ac:dyDescent="0.2"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</row>
    <row r="183" spans="38:47" x14ac:dyDescent="0.2">
      <c r="AL183" s="12"/>
      <c r="AM183" s="12"/>
      <c r="AN183" s="12"/>
      <c r="AO183" s="12"/>
      <c r="AP183" s="12"/>
      <c r="AQ183" s="12"/>
    </row>
    <row r="184" spans="38:47" x14ac:dyDescent="0.2">
      <c r="AL184" s="12"/>
      <c r="AM184" s="12"/>
      <c r="AN184" s="12"/>
      <c r="AO184" s="12"/>
      <c r="AP184" s="12"/>
      <c r="AQ184" s="12"/>
    </row>
    <row r="185" spans="38:47" x14ac:dyDescent="0.2">
      <c r="AL185" s="12"/>
      <c r="AM185" s="12"/>
      <c r="AN185" s="12"/>
      <c r="AO185" s="12"/>
      <c r="AP185" s="12"/>
      <c r="AQ185" s="12"/>
    </row>
    <row r="186" spans="38:47" x14ac:dyDescent="0.2">
      <c r="AL186" s="12"/>
      <c r="AM186" s="12"/>
      <c r="AN186" s="12"/>
      <c r="AO186" s="12"/>
      <c r="AP186" s="12"/>
      <c r="AQ186" s="12"/>
    </row>
  </sheetData>
  <sheetProtection sheet="1" objects="1" scenarios="1"/>
  <mergeCells count="4">
    <mergeCell ref="Y19:Z19"/>
    <mergeCell ref="AB19:AC19"/>
    <mergeCell ref="AE19:AF19"/>
    <mergeCell ref="S19:T19"/>
  </mergeCells>
  <pageMargins left="0.7" right="0.7" top="0.75" bottom="0.75" header="0.3" footer="0.3"/>
  <pageSetup orientation="portrait" horizontalDpi="4294967293" verticalDpi="0" r:id="rId1"/>
  <ignoredErrors>
    <ignoredError sqref="AB24:AC30 AB157:AC165 AE157:AF165 AC31:AC39 AE24:AF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D48"/>
  <sheetViews>
    <sheetView workbookViewId="0">
      <selection activeCell="C6" sqref="C6"/>
    </sheetView>
  </sheetViews>
  <sheetFormatPr defaultRowHeight="12.75" x14ac:dyDescent="0.2"/>
  <sheetData>
    <row r="1" spans="1:30" x14ac:dyDescent="0.2">
      <c r="A1" s="9" t="s">
        <v>62</v>
      </c>
      <c r="B1" s="12"/>
      <c r="C1" s="17" t="s">
        <v>5</v>
      </c>
      <c r="D1" s="17" t="s">
        <v>6</v>
      </c>
      <c r="E1" s="12"/>
      <c r="F1" s="17" t="s">
        <v>5</v>
      </c>
      <c r="G1" s="17" t="s">
        <v>6</v>
      </c>
      <c r="H1" s="12"/>
    </row>
    <row r="2" spans="1:30" x14ac:dyDescent="0.2">
      <c r="A2" s="12"/>
      <c r="B2" s="12"/>
      <c r="C2" s="109">
        <f>AB6</f>
        <v>42.295426384251904</v>
      </c>
      <c r="D2" s="110">
        <f>AC6</f>
        <v>76.83499999999998</v>
      </c>
      <c r="E2" s="111"/>
      <c r="F2" s="110">
        <f>IF(Design!$H$22="x",C2,0)</f>
        <v>0</v>
      </c>
      <c r="G2" s="154">
        <f>IF(Design!$H$22="x",D2,0)</f>
        <v>0</v>
      </c>
      <c r="H2" s="12"/>
      <c r="U2" s="12" t="s">
        <v>73</v>
      </c>
      <c r="V2" s="12"/>
      <c r="W2" s="12"/>
      <c r="X2" s="12"/>
      <c r="Y2" s="12"/>
      <c r="Z2" s="12"/>
      <c r="AA2" s="12"/>
      <c r="AB2" s="12"/>
      <c r="AC2" s="12"/>
      <c r="AD2" s="12"/>
    </row>
    <row r="3" spans="1:30" x14ac:dyDescent="0.2">
      <c r="A3" s="12"/>
      <c r="B3" s="38">
        <v>1</v>
      </c>
      <c r="C3" s="112">
        <f>AB7</f>
        <v>32.363784754114775</v>
      </c>
      <c r="D3" s="113">
        <f>AC7</f>
        <v>0</v>
      </c>
      <c r="E3" s="114"/>
      <c r="F3" s="113">
        <f>IF(Design!$H$22="x",C3,0)</f>
        <v>0</v>
      </c>
      <c r="G3" s="155">
        <f>IF(Design!$H$22="x",D3,0)</f>
        <v>0</v>
      </c>
      <c r="H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x14ac:dyDescent="0.2">
      <c r="A4" s="12"/>
      <c r="B4" s="9"/>
      <c r="C4" s="115"/>
      <c r="D4" s="116"/>
      <c r="E4" s="128"/>
      <c r="F4" s="124"/>
      <c r="G4" s="156"/>
      <c r="H4" s="12"/>
      <c r="U4" s="12"/>
      <c r="V4" s="17" t="s">
        <v>75</v>
      </c>
      <c r="W4" s="17" t="s">
        <v>76</v>
      </c>
      <c r="X4" s="17" t="s">
        <v>77</v>
      </c>
      <c r="Y4" s="17" t="s">
        <v>78</v>
      </c>
      <c r="Z4" s="17" t="s">
        <v>79</v>
      </c>
      <c r="AA4" s="17" t="s">
        <v>80</v>
      </c>
      <c r="AB4" s="17" t="s">
        <v>5</v>
      </c>
      <c r="AC4" s="17" t="s">
        <v>6</v>
      </c>
      <c r="AD4" s="103" t="s">
        <v>19</v>
      </c>
    </row>
    <row r="5" spans="1:30" x14ac:dyDescent="0.2">
      <c r="A5" s="12"/>
      <c r="B5" s="12"/>
      <c r="C5" s="109">
        <f>Panels!C39</f>
        <v>35.548065717529553</v>
      </c>
      <c r="D5" s="110">
        <f>Panels!D39</f>
        <v>76.835000000000008</v>
      </c>
      <c r="E5" s="111"/>
      <c r="F5" s="110">
        <f>IF(Design!$H$22="x",C5,0)</f>
        <v>0</v>
      </c>
      <c r="G5" s="154">
        <f>IF(Design!$H$22="x",D5,0)</f>
        <v>0</v>
      </c>
      <c r="H5" s="12"/>
      <c r="U5" s="9" t="s">
        <v>96</v>
      </c>
      <c r="V5" s="43">
        <f>Panels!C19</f>
        <v>0</v>
      </c>
      <c r="W5" s="43">
        <f>Panels!D19</f>
        <v>76.835000000000008</v>
      </c>
      <c r="X5" s="43">
        <f>Panels!C18</f>
        <v>120.65</v>
      </c>
      <c r="Y5" s="43">
        <f>Panels!D18</f>
        <v>76.835000000000008</v>
      </c>
      <c r="Z5" s="107">
        <f>(Y5-W5)/(X5-V5)</f>
        <v>0</v>
      </c>
      <c r="AA5" s="107">
        <f>(Y5*V5-W5*X5)/(V5-X5)</f>
        <v>76.835000000000008</v>
      </c>
      <c r="AB5" s="12"/>
      <c r="AC5" s="43"/>
      <c r="AD5" s="43"/>
    </row>
    <row r="6" spans="1:30" x14ac:dyDescent="0.2">
      <c r="A6" s="12"/>
      <c r="B6" s="9">
        <v>2</v>
      </c>
      <c r="C6" s="112">
        <f>(D6-Panels!D38)*(Panels!C39-Panels!C38)/(Panels!D39-Panels!D38)+Panels!C38</f>
        <v>29.309090134030612</v>
      </c>
      <c r="D6" s="113">
        <f>Panels!D20</f>
        <v>0</v>
      </c>
      <c r="E6" s="114"/>
      <c r="F6" s="113">
        <f>IF(Design!$H$22="x",C6,0)</f>
        <v>0</v>
      </c>
      <c r="G6" s="155">
        <f>IF(Design!$H$22="x",D6,0)</f>
        <v>0</v>
      </c>
      <c r="H6" s="12"/>
      <c r="U6" s="9" t="s">
        <v>181</v>
      </c>
      <c r="V6" s="43">
        <f>Panels!C51</f>
        <v>36.145462410396654</v>
      </c>
      <c r="W6" s="43">
        <f>Panels!D51</f>
        <v>29.256513025873851</v>
      </c>
      <c r="X6" s="43">
        <f>Panels!C50</f>
        <v>41.190161894408035</v>
      </c>
      <c r="Y6" s="43">
        <f>Panels!D50</f>
        <v>68.284248750633637</v>
      </c>
      <c r="Z6" s="107">
        <f>(Y6-W6)/(X6-V6)</f>
        <v>7.7363846644292469</v>
      </c>
      <c r="AA6" s="107">
        <f>(Y6*V6-W6*X6)/(V6-X6)</f>
        <v>-250.37868805462261</v>
      </c>
      <c r="AB6" s="43">
        <f>(AA5-AA6)/(Z6-Z5)</f>
        <v>42.295426384251904</v>
      </c>
      <c r="AC6" s="43">
        <f>AB6*Z6+AA6</f>
        <v>76.83499999999998</v>
      </c>
      <c r="AD6" s="43">
        <f>(AB6^2+AC6^2)^0.5</f>
        <v>87.707014075418556</v>
      </c>
    </row>
    <row r="7" spans="1:30" x14ac:dyDescent="0.2">
      <c r="A7" s="12"/>
      <c r="B7" s="12"/>
      <c r="C7" s="127"/>
      <c r="D7" s="128"/>
      <c r="E7" s="128"/>
      <c r="F7" s="124"/>
      <c r="G7" s="156"/>
      <c r="H7" s="12"/>
      <c r="U7" s="9" t="s">
        <v>97</v>
      </c>
      <c r="V7" s="43">
        <f>Panels!C20</f>
        <v>0</v>
      </c>
      <c r="W7" s="43">
        <f>Panels!D20</f>
        <v>0</v>
      </c>
      <c r="X7" s="43">
        <f>Panels!C21</f>
        <v>120.65</v>
      </c>
      <c r="Y7" s="43">
        <f>Panels!D21</f>
        <v>0</v>
      </c>
      <c r="Z7" s="107">
        <f>(Y7-W7)/(X7-V7)</f>
        <v>0</v>
      </c>
      <c r="AA7" s="107">
        <f>(Y7*V7-W7*X7)/(V7-X7)</f>
        <v>0</v>
      </c>
      <c r="AB7" s="43">
        <f>(AA6-AA7)/(Z7-Z6)</f>
        <v>32.363784754114775</v>
      </c>
      <c r="AC7" s="43">
        <f>AB7*Z7+AA7</f>
        <v>0</v>
      </c>
      <c r="AD7" s="43">
        <f>(AB7^2+AC7^2)^0.5</f>
        <v>32.363784754114775</v>
      </c>
    </row>
    <row r="8" spans="1:30" x14ac:dyDescent="0.2">
      <c r="A8" s="12"/>
      <c r="B8" s="9"/>
      <c r="C8" s="109">
        <f>AB14</f>
        <v>109.13472187516774</v>
      </c>
      <c r="D8" s="110">
        <f>AC14</f>
        <v>76.835000000000036</v>
      </c>
      <c r="E8" s="111"/>
      <c r="F8" s="110">
        <f>IF(Design!$H$22="x",C8,0)</f>
        <v>0</v>
      </c>
      <c r="G8" s="154">
        <f>IF(Design!$H$22="x",D8,0)</f>
        <v>0</v>
      </c>
      <c r="H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x14ac:dyDescent="0.2">
      <c r="A9" s="12"/>
      <c r="B9" s="9">
        <v>3</v>
      </c>
      <c r="C9" s="112">
        <f>AB15</f>
        <v>105.48041079869948</v>
      </c>
      <c r="D9" s="113">
        <f>AC15</f>
        <v>0</v>
      </c>
      <c r="E9" s="114"/>
      <c r="F9" s="113">
        <f>IF(Design!$H$22="x",C9,0)</f>
        <v>0</v>
      </c>
      <c r="G9" s="155">
        <f>IF(Design!$H$22="x",D9,0)</f>
        <v>0</v>
      </c>
      <c r="H9" s="12"/>
      <c r="U9" s="9" t="s">
        <v>96</v>
      </c>
      <c r="V9" s="43">
        <f t="shared" ref="V9:Y11" si="0">V5</f>
        <v>0</v>
      </c>
      <c r="W9" s="43">
        <f t="shared" si="0"/>
        <v>76.835000000000008</v>
      </c>
      <c r="X9" s="43">
        <f t="shared" si="0"/>
        <v>120.65</v>
      </c>
      <c r="Y9" s="43">
        <f t="shared" si="0"/>
        <v>76.835000000000008</v>
      </c>
      <c r="Z9" s="107">
        <f>(Y9-W9)/(X9-V9)</f>
        <v>0</v>
      </c>
      <c r="AA9" s="107">
        <f>(Y9*V9-W9*X9)/(V9-X9)</f>
        <v>76.835000000000008</v>
      </c>
      <c r="AB9" s="12"/>
      <c r="AC9" s="43"/>
      <c r="AD9" s="43"/>
    </row>
    <row r="10" spans="1:30" x14ac:dyDescent="0.2">
      <c r="A10" s="12"/>
      <c r="B10" s="9"/>
      <c r="C10" s="127"/>
      <c r="D10" s="128"/>
      <c r="E10" s="128"/>
      <c r="F10" s="124"/>
      <c r="G10" s="156"/>
      <c r="H10" s="12"/>
      <c r="U10" s="9" t="s">
        <v>181</v>
      </c>
      <c r="V10" s="43">
        <f t="shared" si="0"/>
        <v>36.145462410396654</v>
      </c>
      <c r="W10" s="43">
        <f t="shared" si="0"/>
        <v>29.256513025873851</v>
      </c>
      <c r="X10" s="43">
        <f t="shared" si="0"/>
        <v>41.190161894408035</v>
      </c>
      <c r="Y10" s="43">
        <f t="shared" si="0"/>
        <v>68.284248750633637</v>
      </c>
      <c r="Z10" s="107">
        <f>(Y10-W10)/(X10-V10)</f>
        <v>7.7363846644292469</v>
      </c>
      <c r="AA10" s="107">
        <f>(Y10*V10-W10*X10)/(V10-X10)</f>
        <v>-250.37868805462261</v>
      </c>
      <c r="AB10" s="43">
        <f>(AA9-AA10)/(Z10-Z9)</f>
        <v>42.295426384251904</v>
      </c>
      <c r="AC10" s="43">
        <f>AB10*Z10+AA10</f>
        <v>76.83499999999998</v>
      </c>
      <c r="AD10" s="43">
        <f>(AB10^2+AC10^2)^0.5</f>
        <v>87.707014075418556</v>
      </c>
    </row>
    <row r="11" spans="1:30" x14ac:dyDescent="0.2">
      <c r="A11" s="12"/>
      <c r="B11" s="9"/>
      <c r="C11" s="109">
        <f>Panels!C69</f>
        <v>90.611643312677913</v>
      </c>
      <c r="D11" s="110">
        <f>Panels!D20</f>
        <v>0</v>
      </c>
      <c r="E11" s="111"/>
      <c r="F11" s="110">
        <f>IF(Design!$H$22="x",C11,0)</f>
        <v>0</v>
      </c>
      <c r="G11" s="154">
        <f>IF(Design!$H$22="x",D11,0)</f>
        <v>0</v>
      </c>
      <c r="H11" s="12"/>
      <c r="U11" s="9" t="s">
        <v>97</v>
      </c>
      <c r="V11" s="43">
        <f t="shared" si="0"/>
        <v>0</v>
      </c>
      <c r="W11" s="43">
        <f t="shared" si="0"/>
        <v>0</v>
      </c>
      <c r="X11" s="43">
        <f t="shared" si="0"/>
        <v>120.65</v>
      </c>
      <c r="Y11" s="43">
        <f t="shared" si="0"/>
        <v>0</v>
      </c>
      <c r="Z11" s="107">
        <f>(Y11-W11)/(X11-V11)</f>
        <v>0</v>
      </c>
      <c r="AA11" s="107">
        <f>(Y11*V11-W11*X11)/(V11-X11)</f>
        <v>0</v>
      </c>
      <c r="AB11" s="43">
        <f>(AA10-AA11)/(Z11-Z10)</f>
        <v>32.363784754114775</v>
      </c>
      <c r="AC11" s="43">
        <f>AB11*Z11+AA11</f>
        <v>0</v>
      </c>
      <c r="AD11" s="43">
        <f>(AB11^2+AC11^2)^0.5</f>
        <v>32.363784754114775</v>
      </c>
    </row>
    <row r="12" spans="1:30" x14ac:dyDescent="0.2">
      <c r="A12" s="12"/>
      <c r="B12" s="9">
        <v>4</v>
      </c>
      <c r="C12" s="112">
        <f>Panels!C69</f>
        <v>90.611643312677913</v>
      </c>
      <c r="D12" s="113">
        <f>Panels!D19</f>
        <v>76.835000000000008</v>
      </c>
      <c r="E12" s="114"/>
      <c r="F12" s="113">
        <f>IF(Design!$H$22="x",C12,0)</f>
        <v>0</v>
      </c>
      <c r="G12" s="155">
        <f>IF(Design!$H$22="x",D12,0)</f>
        <v>0</v>
      </c>
      <c r="H12" s="12"/>
    </row>
    <row r="13" spans="1:30" x14ac:dyDescent="0.2">
      <c r="A13" s="12"/>
      <c r="B13" s="9"/>
      <c r="C13" s="127"/>
      <c r="D13" s="128"/>
      <c r="E13" s="128"/>
      <c r="F13" s="124"/>
      <c r="G13" s="156"/>
      <c r="H13" s="12"/>
      <c r="U13" s="9" t="s">
        <v>96</v>
      </c>
      <c r="V13" s="43">
        <f>V9</f>
        <v>0</v>
      </c>
      <c r="W13" s="43">
        <f>W9</f>
        <v>76.835000000000008</v>
      </c>
      <c r="X13" s="43">
        <f>X9</f>
        <v>120.65</v>
      </c>
      <c r="Y13" s="43">
        <f>Y9</f>
        <v>76.835000000000008</v>
      </c>
      <c r="Z13" s="107">
        <f>(Y13-W13)/(X13-V13)</f>
        <v>0</v>
      </c>
      <c r="AA13" s="107">
        <f>(Y13*V13-W13*X13)/(V13-X13)</f>
        <v>76.835000000000008</v>
      </c>
      <c r="AB13" s="12"/>
      <c r="AC13" s="43"/>
      <c r="AD13" s="43"/>
    </row>
    <row r="14" spans="1:30" x14ac:dyDescent="0.2">
      <c r="A14" s="12"/>
      <c r="B14" s="9"/>
      <c r="C14" s="109">
        <f>Panels!C20</f>
        <v>0</v>
      </c>
      <c r="D14" s="110">
        <f>(C14-Panels!C43)*(Panels!D44-Panels!D43)/(Panels!C44-Panels!C43)+Panels!D43</f>
        <v>30.194698720530731</v>
      </c>
      <c r="E14" s="111"/>
      <c r="F14" s="110">
        <f>IF(Design!$H$22="x",C14,0)</f>
        <v>0</v>
      </c>
      <c r="G14" s="154">
        <f>IF(Design!$H$22="x",D14,0)</f>
        <v>0</v>
      </c>
      <c r="H14" s="12"/>
      <c r="U14" s="9" t="s">
        <v>181</v>
      </c>
      <c r="V14" s="43">
        <f>Panels!C74</f>
        <v>106.1927286465103</v>
      </c>
      <c r="W14" s="43">
        <f>Panels!D74</f>
        <v>14.977088893438969</v>
      </c>
      <c r="X14" s="43">
        <f>Panels!C75</f>
        <v>108.57987060189097</v>
      </c>
      <c r="Y14" s="43">
        <f>Panels!D75</f>
        <v>65.168779831512538</v>
      </c>
      <c r="Z14" s="107">
        <f>(Y14-W14)/(X14-V14)</f>
        <v>21.025850944867521</v>
      </c>
      <c r="AA14" s="107">
        <f>(Y14*V14-W14*X14)/(V14-X14)</f>
        <v>-2217.8153950568499</v>
      </c>
      <c r="AB14" s="43">
        <f>(AA13-AA14)/(Z14-Z13)</f>
        <v>109.13472187516774</v>
      </c>
      <c r="AC14" s="43">
        <f>AB14*Z14+AA14</f>
        <v>76.835000000000036</v>
      </c>
      <c r="AD14" s="43">
        <f>(AB14^2+AC14^2)^0.5</f>
        <v>133.46911531800239</v>
      </c>
    </row>
    <row r="15" spans="1:30" x14ac:dyDescent="0.2">
      <c r="A15" s="12"/>
      <c r="B15" s="9">
        <v>5</v>
      </c>
      <c r="C15" s="112">
        <f>Panels!C21</f>
        <v>120.65</v>
      </c>
      <c r="D15" s="113">
        <f>(C15-Panels!C43)*(Panels!D44-Panels!D43)/(Panels!C44-Panels!C43)+Panels!D43</f>
        <v>20.397960200986937</v>
      </c>
      <c r="E15" s="114"/>
      <c r="F15" s="113">
        <f>IF(Design!$H$22="x",C15,0)</f>
        <v>0</v>
      </c>
      <c r="G15" s="155">
        <f>IF(Design!$H$22="x",D15,0)</f>
        <v>0</v>
      </c>
      <c r="H15" s="12"/>
      <c r="U15" s="9" t="s">
        <v>97</v>
      </c>
      <c r="V15" s="43">
        <f>V11</f>
        <v>0</v>
      </c>
      <c r="W15" s="43">
        <f>W11</f>
        <v>0</v>
      </c>
      <c r="X15" s="43">
        <f>X11</f>
        <v>120.65</v>
      </c>
      <c r="Y15" s="43">
        <f>Y11</f>
        <v>0</v>
      </c>
      <c r="Z15" s="107">
        <f>(Y15-W15)/(X15-V15)</f>
        <v>0</v>
      </c>
      <c r="AA15" s="107">
        <f>(Y15*V15-W15*X15)/(V15-X15)</f>
        <v>0</v>
      </c>
      <c r="AB15" s="43">
        <f>(AA14-AA15)/(Z15-Z14)</f>
        <v>105.48041079869948</v>
      </c>
      <c r="AC15" s="43">
        <f>AB15*Z15+AA15</f>
        <v>0</v>
      </c>
      <c r="AD15" s="43">
        <f>(AB15^2+AC15^2)^0.5</f>
        <v>105.48041079869948</v>
      </c>
    </row>
    <row r="16" spans="1:30" x14ac:dyDescent="0.2">
      <c r="A16" s="12"/>
      <c r="B16" s="9"/>
      <c r="C16" s="127"/>
      <c r="D16" s="128"/>
      <c r="E16" s="128"/>
      <c r="F16" s="124"/>
      <c r="G16" s="156"/>
      <c r="H16" s="12"/>
    </row>
    <row r="17" spans="1:8" x14ac:dyDescent="0.2">
      <c r="A17" s="12"/>
      <c r="B17" s="9"/>
      <c r="C17" s="109">
        <f>Panels!C20</f>
        <v>0</v>
      </c>
      <c r="D17" s="110">
        <f>Panels!D20</f>
        <v>0</v>
      </c>
      <c r="E17" s="111"/>
      <c r="F17" s="110">
        <f>IF(Design!$H$22="x",C17,0)</f>
        <v>0</v>
      </c>
      <c r="G17" s="154">
        <f>IF(Design!$H$22="x",D17,0)</f>
        <v>0</v>
      </c>
      <c r="H17" s="12"/>
    </row>
    <row r="18" spans="1:8" x14ac:dyDescent="0.2">
      <c r="A18" s="12"/>
      <c r="B18" s="9">
        <v>6</v>
      </c>
      <c r="C18" s="112">
        <f>Panels!C21</f>
        <v>120.65</v>
      </c>
      <c r="D18" s="113">
        <f>Panels!D21</f>
        <v>0</v>
      </c>
      <c r="E18" s="114"/>
      <c r="F18" s="113">
        <f>IF(Design!$H$22="x",C18,0)</f>
        <v>0</v>
      </c>
      <c r="G18" s="155">
        <f>IF(Design!$H$22="x",D18,0)</f>
        <v>0</v>
      </c>
      <c r="H18" s="12"/>
    </row>
    <row r="19" spans="1:8" x14ac:dyDescent="0.2">
      <c r="A19" s="12"/>
      <c r="B19" s="9"/>
      <c r="C19" s="127"/>
      <c r="D19" s="128"/>
      <c r="E19" s="128"/>
      <c r="F19" s="124"/>
      <c r="G19" s="156"/>
      <c r="H19" s="12"/>
    </row>
    <row r="20" spans="1:8" x14ac:dyDescent="0.2">
      <c r="A20" s="12"/>
      <c r="B20" s="9"/>
      <c r="C20" s="109">
        <f>Panels!C20</f>
        <v>0</v>
      </c>
      <c r="D20" s="110">
        <f>(C20-Panels!C54)*(Panels!D55-Panels!D54)/(Panels!C55-Panels!C54)+Panels!D54</f>
        <v>70.332892850605148</v>
      </c>
      <c r="E20" s="111"/>
      <c r="F20" s="110">
        <f>IF(Design!$H$22="x",C20,0)</f>
        <v>0</v>
      </c>
      <c r="G20" s="154">
        <f>IF(Design!$H$22="x",D20,0)</f>
        <v>0</v>
      </c>
      <c r="H20" s="12"/>
    </row>
    <row r="21" spans="1:8" x14ac:dyDescent="0.2">
      <c r="A21" s="12"/>
      <c r="B21" s="9">
        <v>7</v>
      </c>
      <c r="C21" s="112">
        <f>Panels!C21</f>
        <v>120.65</v>
      </c>
      <c r="D21" s="113">
        <f>(C21-Panels!C54)*(Panels!D55-Panels!D54)/(Panels!C55-Panels!C54)+Panels!D54</f>
        <v>64.594718433010357</v>
      </c>
      <c r="E21" s="114"/>
      <c r="F21" s="113">
        <f>IF(Design!$H$22="x",C21,0)</f>
        <v>0</v>
      </c>
      <c r="G21" s="155">
        <f>IF(Design!$H$22="x",D21,0)</f>
        <v>0</v>
      </c>
      <c r="H21" s="12"/>
    </row>
    <row r="22" spans="1:8" x14ac:dyDescent="0.2">
      <c r="A22" s="12"/>
      <c r="B22" s="9"/>
      <c r="C22" s="127"/>
      <c r="D22" s="128"/>
      <c r="E22" s="128"/>
      <c r="F22" s="124"/>
      <c r="G22" s="156"/>
      <c r="H22" s="12"/>
    </row>
    <row r="23" spans="1:8" x14ac:dyDescent="0.2">
      <c r="A23" s="12"/>
      <c r="B23" s="9"/>
      <c r="C23" s="109">
        <f>Panels!C23</f>
        <v>0</v>
      </c>
      <c r="D23" s="110">
        <f>Panels!D62</f>
        <v>48.229287296147568</v>
      </c>
      <c r="E23" s="111"/>
      <c r="F23" s="110">
        <f>IF(Design!$H$22="x",C23,0)</f>
        <v>0</v>
      </c>
      <c r="G23" s="154">
        <f>IF(Design!$H$22="x",D23,0)</f>
        <v>0</v>
      </c>
      <c r="H23" s="12"/>
    </row>
    <row r="24" spans="1:8" x14ac:dyDescent="0.2">
      <c r="A24" s="12"/>
      <c r="B24" s="9">
        <v>8</v>
      </c>
      <c r="C24" s="112">
        <f>Panels!C21</f>
        <v>120.65</v>
      </c>
      <c r="D24" s="113">
        <f>D23</f>
        <v>48.229287296147568</v>
      </c>
      <c r="E24" s="114"/>
      <c r="F24" s="113">
        <f>IF(Design!$H$22="x",C24,0)</f>
        <v>0</v>
      </c>
      <c r="G24" s="155">
        <f>IF(Design!$H$22="x",D24,0)</f>
        <v>0</v>
      </c>
      <c r="H24" s="12"/>
    </row>
    <row r="25" spans="1:8" x14ac:dyDescent="0.2">
      <c r="A25" s="12"/>
      <c r="B25" s="9"/>
      <c r="C25" s="127"/>
      <c r="D25" s="128"/>
      <c r="E25" s="128"/>
      <c r="F25" s="124"/>
      <c r="G25" s="156"/>
      <c r="H25" s="12"/>
    </row>
    <row r="26" spans="1:8" x14ac:dyDescent="0.2">
      <c r="A26" s="12"/>
      <c r="B26" s="9"/>
      <c r="C26" s="109">
        <f>Panels!C20</f>
        <v>0</v>
      </c>
      <c r="D26" s="110">
        <f>Panels!D20</f>
        <v>0</v>
      </c>
      <c r="E26" s="111"/>
      <c r="F26" s="110">
        <f>IF(Design!$H$22="x",C26,0)</f>
        <v>0</v>
      </c>
      <c r="G26" s="154">
        <f>IF(Design!$H$22="x",D26,0)</f>
        <v>0</v>
      </c>
      <c r="H26" s="12"/>
    </row>
    <row r="27" spans="1:8" x14ac:dyDescent="0.2">
      <c r="A27" s="12"/>
      <c r="B27" s="9">
        <v>9</v>
      </c>
      <c r="C27" s="112">
        <f>Panels!C19</f>
        <v>0</v>
      </c>
      <c r="D27" s="113">
        <f>Panels!D19</f>
        <v>76.835000000000008</v>
      </c>
      <c r="E27" s="114"/>
      <c r="F27" s="113">
        <f>IF(Design!$H$22="x",C27,0)</f>
        <v>0</v>
      </c>
      <c r="G27" s="155">
        <f>IF(Design!$H$22="x",D27,0)</f>
        <v>0</v>
      </c>
      <c r="H27" s="12"/>
    </row>
    <row r="28" spans="1:8" x14ac:dyDescent="0.2">
      <c r="A28" s="12"/>
      <c r="B28" s="9"/>
      <c r="C28" s="127"/>
      <c r="D28" s="128"/>
      <c r="E28" s="128"/>
      <c r="F28" s="124"/>
      <c r="G28" s="156"/>
      <c r="H28" s="12"/>
    </row>
    <row r="29" spans="1:8" x14ac:dyDescent="0.2">
      <c r="A29" s="12"/>
      <c r="B29" s="9"/>
      <c r="C29" s="109">
        <f>Panels!C23</f>
        <v>0</v>
      </c>
      <c r="D29" s="110">
        <f>Panels!D23</f>
        <v>0</v>
      </c>
      <c r="E29" s="111"/>
      <c r="F29" s="110">
        <f>IF(Design!$H$22="x",C29,0)</f>
        <v>0</v>
      </c>
      <c r="G29" s="154">
        <f>IF(Design!$H$22="x",D29,0)</f>
        <v>0</v>
      </c>
      <c r="H29" s="12"/>
    </row>
    <row r="30" spans="1:8" x14ac:dyDescent="0.2">
      <c r="A30" s="12"/>
      <c r="B30" s="9">
        <v>10</v>
      </c>
      <c r="C30" s="112">
        <f>Panels!C21</f>
        <v>120.65</v>
      </c>
      <c r="D30" s="113">
        <f>Panels!D21</f>
        <v>0</v>
      </c>
      <c r="E30" s="114"/>
      <c r="F30" s="113">
        <f>IF(Design!$H$22="x",C30,0)</f>
        <v>0</v>
      </c>
      <c r="G30" s="155">
        <f>IF(Design!$H$22="x",D30,0)</f>
        <v>0</v>
      </c>
      <c r="H30" s="12"/>
    </row>
    <row r="31" spans="1:8" x14ac:dyDescent="0.2">
      <c r="A31" s="12"/>
      <c r="B31" s="9"/>
      <c r="C31" s="127"/>
      <c r="D31" s="128"/>
      <c r="E31" s="128"/>
      <c r="F31" s="124"/>
      <c r="G31" s="156"/>
      <c r="H31" s="12"/>
    </row>
    <row r="32" spans="1:8" x14ac:dyDescent="0.2">
      <c r="A32" s="12"/>
      <c r="B32" s="9"/>
      <c r="H32" s="12"/>
    </row>
    <row r="33" spans="1:8" x14ac:dyDescent="0.2">
      <c r="A33" s="12"/>
      <c r="B33" s="9"/>
      <c r="H33" s="12"/>
    </row>
    <row r="34" spans="1:8" x14ac:dyDescent="0.2">
      <c r="A34" s="12"/>
      <c r="B34" s="9"/>
      <c r="H34" s="12"/>
    </row>
    <row r="35" spans="1:8" x14ac:dyDescent="0.2">
      <c r="A35" s="12"/>
      <c r="E35" s="12"/>
      <c r="F35" s="12"/>
      <c r="G35" s="12"/>
      <c r="H35" s="12"/>
    </row>
    <row r="36" spans="1:8" x14ac:dyDescent="0.2">
      <c r="A36" s="12"/>
      <c r="E36" s="12"/>
      <c r="F36" s="12"/>
      <c r="G36" s="12"/>
      <c r="H36" s="12"/>
    </row>
    <row r="37" spans="1:8" x14ac:dyDescent="0.2">
      <c r="A37" s="12"/>
      <c r="E37" s="12"/>
      <c r="F37" s="12"/>
      <c r="G37" s="12"/>
      <c r="H37" s="12"/>
    </row>
    <row r="38" spans="1:8" x14ac:dyDescent="0.2">
      <c r="A38" s="12"/>
      <c r="E38" s="12"/>
      <c r="F38" s="12"/>
      <c r="G38" s="12"/>
      <c r="H38" s="12"/>
    </row>
    <row r="39" spans="1:8" x14ac:dyDescent="0.2">
      <c r="A39" s="12"/>
      <c r="E39" s="12"/>
      <c r="F39" s="12"/>
      <c r="G39" s="12"/>
      <c r="H39" s="12"/>
    </row>
    <row r="40" spans="1:8" x14ac:dyDescent="0.2">
      <c r="A40" s="12"/>
      <c r="E40" s="12"/>
      <c r="F40" s="12"/>
      <c r="G40" s="12"/>
      <c r="H40" s="12"/>
    </row>
    <row r="41" spans="1:8" x14ac:dyDescent="0.2">
      <c r="A41" s="12"/>
      <c r="F41" s="12"/>
      <c r="G41" s="12"/>
      <c r="H41" s="12"/>
    </row>
    <row r="42" spans="1:8" x14ac:dyDescent="0.2">
      <c r="A42" s="12"/>
      <c r="F42" s="12"/>
      <c r="G42" s="12"/>
      <c r="H42" s="12"/>
    </row>
    <row r="43" spans="1:8" x14ac:dyDescent="0.2">
      <c r="A43" s="12"/>
      <c r="F43" s="12"/>
      <c r="G43" s="12"/>
      <c r="H43" s="12"/>
    </row>
    <row r="44" spans="1:8" x14ac:dyDescent="0.2">
      <c r="A44" s="12"/>
      <c r="F44" s="12"/>
      <c r="G44" s="12"/>
      <c r="H44" s="12"/>
    </row>
    <row r="45" spans="1:8" x14ac:dyDescent="0.2">
      <c r="A45" s="12"/>
      <c r="F45" s="12"/>
      <c r="G45" s="12"/>
      <c r="H45" s="12"/>
    </row>
    <row r="46" spans="1:8" x14ac:dyDescent="0.2">
      <c r="A46" s="12"/>
      <c r="F46" s="12"/>
      <c r="G46" s="12"/>
      <c r="H46" s="12"/>
    </row>
    <row r="47" spans="1:8" x14ac:dyDescent="0.2">
      <c r="A47" s="12"/>
      <c r="F47" s="12"/>
      <c r="G47" s="12"/>
      <c r="H47" s="12"/>
    </row>
    <row r="48" spans="1:8" x14ac:dyDescent="0.2">
      <c r="A48" s="12"/>
      <c r="F48" s="12"/>
      <c r="G48" s="12"/>
      <c r="H48" s="12"/>
    </row>
  </sheetData>
  <sheetProtection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"/>
  <sheetViews>
    <sheetView workbookViewId="0">
      <selection activeCell="AF23" sqref="AF23"/>
    </sheetView>
  </sheetViews>
  <sheetFormatPr defaultRowHeight="12.75" x14ac:dyDescent="0.2"/>
  <sheetData/>
  <sheetProtection sheet="1" objects="1" scenarios="1"/>
  <pageMargins left="0.7" right="0.7" top="0.75" bottom="0.75" header="0.3" footer="0.3"/>
  <pageSetup scale="5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2:C18"/>
  <sheetViews>
    <sheetView workbookViewId="0">
      <selection activeCell="C16" sqref="C16"/>
    </sheetView>
  </sheetViews>
  <sheetFormatPr defaultRowHeight="12.75" x14ac:dyDescent="0.2"/>
  <cols>
    <col min="3" max="3" width="50.7109375" style="168" customWidth="1"/>
  </cols>
  <sheetData>
    <row r="2" spans="2:3" ht="18" x14ac:dyDescent="0.25">
      <c r="B2" s="170" t="s">
        <v>98</v>
      </c>
    </row>
    <row r="4" spans="2:3" ht="30" x14ac:dyDescent="0.2">
      <c r="B4" s="171">
        <v>1</v>
      </c>
      <c r="C4" s="172" t="str">
        <f>CONCATENATE("Cut out the side panels, ",Design!$E$51,"cm x ",Design!$F$51,"cm (2 are required)")</f>
        <v>Cut out the side panels, 120.7cm x 76.8cm (2 are required)</v>
      </c>
    </row>
    <row r="5" spans="2:3" ht="30" x14ac:dyDescent="0.2">
      <c r="B5" s="171">
        <f t="shared" ref="B5:B12" si="0">B4+1</f>
        <v>2</v>
      </c>
      <c r="C5" s="172" t="s">
        <v>99</v>
      </c>
    </row>
    <row r="6" spans="2:3" ht="65.25" customHeight="1" x14ac:dyDescent="0.2">
      <c r="B6" s="171">
        <f t="shared" si="0"/>
        <v>3</v>
      </c>
      <c r="C6" s="172" t="str">
        <f>CONCATENATE("Prepare the speaker baffle.  This panel should be ",ROUND(Design!$E$50,1),"cm x ",ROUND(Design!$F$50,1)," cm. Cut the mounting hole for the speaker so that it is ",Design!D18," cm from one of the ends that measures ",Design!E49," cm.")</f>
        <v>Prepare the speaker baffle.  This panel should be 57.2cm x 47.5 cm. Cut the mounting hole for the speaker so that it is 18 cm from one of the ends that measures 57.2 cm.</v>
      </c>
    </row>
    <row r="7" spans="2:3" ht="45" x14ac:dyDescent="0.2">
      <c r="B7" s="171">
        <f t="shared" si="0"/>
        <v>4</v>
      </c>
      <c r="C7" s="172" t="s">
        <v>100</v>
      </c>
    </row>
    <row r="8" spans="2:3" ht="33" customHeight="1" x14ac:dyDescent="0.2">
      <c r="B8" s="171">
        <f t="shared" si="0"/>
        <v>5</v>
      </c>
      <c r="C8" s="172" t="s">
        <v>111</v>
      </c>
    </row>
    <row r="9" spans="2:3" ht="48" customHeight="1" x14ac:dyDescent="0.2">
      <c r="B9" s="171">
        <f t="shared" si="0"/>
        <v>6</v>
      </c>
      <c r="C9" s="172" t="str">
        <f>CONCATENATE("Cut out the front panel (",ROUND(Design!E53,1),"cm x ",ROUND(Design!F53,1),"cm), top and bottom panels (",ROUND(Design!E49,1),"cm x ",ROUND(Design!F49,1),"cm), and back panel (",ROUND(Design!E52,1),"cm x ",ROUND(Design!F52,1),"cm)")</f>
        <v>Cut out the front panel (57.2cm x 83.2cm), top and bottom panels (57.2cm x 76.8cm), and back panel (57.2cm x 116.9cm)</v>
      </c>
    </row>
    <row r="10" spans="2:3" ht="45" x14ac:dyDescent="0.2">
      <c r="B10" s="171">
        <f t="shared" si="0"/>
        <v>7</v>
      </c>
      <c r="C10" s="172" t="s">
        <v>101</v>
      </c>
    </row>
    <row r="11" spans="2:3" ht="15" x14ac:dyDescent="0.2">
      <c r="B11" s="171">
        <f t="shared" si="0"/>
        <v>8</v>
      </c>
      <c r="C11" s="172" t="s">
        <v>102</v>
      </c>
    </row>
    <row r="12" spans="2:3" ht="45" x14ac:dyDescent="0.2">
      <c r="B12" s="171">
        <f t="shared" si="0"/>
        <v>9</v>
      </c>
      <c r="C12" s="172" t="s">
        <v>103</v>
      </c>
    </row>
    <row r="13" spans="2:3" x14ac:dyDescent="0.2">
      <c r="B13" s="169"/>
    </row>
    <row r="14" spans="2:3" x14ac:dyDescent="0.2">
      <c r="B14" s="169"/>
    </row>
    <row r="15" spans="2:3" x14ac:dyDescent="0.2">
      <c r="B15" s="169"/>
    </row>
    <row r="16" spans="2:3" x14ac:dyDescent="0.2">
      <c r="B16" s="169"/>
    </row>
    <row r="17" spans="2:2" x14ac:dyDescent="0.2">
      <c r="B17" s="169"/>
    </row>
    <row r="18" spans="2:2" x14ac:dyDescent="0.2">
      <c r="B18" s="169"/>
    </row>
  </sheetData>
  <sheetProtection sheet="1" objects="1" scenarios="1"/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B28"/>
  <sheetViews>
    <sheetView workbookViewId="0">
      <selection activeCell="C34" sqref="C34"/>
    </sheetView>
  </sheetViews>
  <sheetFormatPr defaultRowHeight="12.75" x14ac:dyDescent="0.2"/>
  <sheetData>
    <row r="1" spans="1:28" x14ac:dyDescent="0.2">
      <c r="A1" s="9" t="s">
        <v>104</v>
      </c>
      <c r="B1" s="12"/>
      <c r="C1" s="17" t="s">
        <v>5</v>
      </c>
      <c r="D1" s="17" t="s">
        <v>6</v>
      </c>
      <c r="E1" s="12"/>
      <c r="F1" s="17" t="s">
        <v>5</v>
      </c>
      <c r="G1" s="17" t="s">
        <v>6</v>
      </c>
      <c r="S1" s="12" t="s">
        <v>73</v>
      </c>
      <c r="T1" s="12"/>
      <c r="U1" s="12"/>
      <c r="V1" s="12"/>
      <c r="W1" s="12"/>
      <c r="X1" s="12"/>
      <c r="Y1" s="12"/>
      <c r="Z1" s="12"/>
      <c r="AA1" s="12"/>
      <c r="AB1" s="12"/>
    </row>
    <row r="2" spans="1:28" x14ac:dyDescent="0.2">
      <c r="A2" s="12"/>
      <c r="B2" s="12"/>
      <c r="C2" s="109">
        <f>C8</f>
        <v>67.425725035915377</v>
      </c>
      <c r="D2" s="110">
        <f>D8</f>
        <v>24.719753029129816</v>
      </c>
      <c r="E2" s="110"/>
      <c r="F2" s="110">
        <f>IF(Design!$H$21="x",C2,0)</f>
        <v>0</v>
      </c>
      <c r="G2" s="154">
        <f>IF(Design!$H$21="x",D2,0)</f>
        <v>0</v>
      </c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x14ac:dyDescent="0.2">
      <c r="A3" s="12"/>
      <c r="B3" s="38">
        <v>1</v>
      </c>
      <c r="C3" s="112">
        <f>C4</f>
        <v>88.711643312677907</v>
      </c>
      <c r="D3" s="113">
        <f>Panels!D60</f>
        <v>46.329287296147569</v>
      </c>
      <c r="E3" s="113"/>
      <c r="F3" s="113">
        <f>IF(Design!$H$21="x",C3,0)</f>
        <v>0</v>
      </c>
      <c r="G3" s="155">
        <f>IF(Design!$H$21="x",D3,0)</f>
        <v>0</v>
      </c>
      <c r="S3" s="12"/>
      <c r="T3" s="17" t="s">
        <v>75</v>
      </c>
      <c r="U3" s="17" t="s">
        <v>76</v>
      </c>
      <c r="V3" s="17" t="s">
        <v>77</v>
      </c>
      <c r="W3" s="17" t="s">
        <v>78</v>
      </c>
      <c r="X3" s="17" t="s">
        <v>79</v>
      </c>
      <c r="Y3" s="17" t="s">
        <v>80</v>
      </c>
      <c r="Z3" s="17" t="s">
        <v>5</v>
      </c>
      <c r="AA3" s="17" t="s">
        <v>6</v>
      </c>
      <c r="AB3" s="103" t="s">
        <v>19</v>
      </c>
    </row>
    <row r="4" spans="1:28" x14ac:dyDescent="0.2">
      <c r="A4" s="12"/>
      <c r="B4" s="9"/>
      <c r="C4" s="288">
        <f>Panels!C70</f>
        <v>88.711643312677907</v>
      </c>
      <c r="D4" s="289">
        <f>Panels!D25</f>
        <v>1.9</v>
      </c>
      <c r="E4" s="125"/>
      <c r="F4" s="113">
        <f>IF(Design!$H$21="x",C4,0)</f>
        <v>0</v>
      </c>
      <c r="G4" s="155">
        <f>IF(Design!$H$21="x",D4,0)</f>
        <v>0</v>
      </c>
      <c r="S4" s="9" t="s">
        <v>105</v>
      </c>
      <c r="T4" s="43">
        <f>Guides!C9</f>
        <v>105.48041079869948</v>
      </c>
      <c r="U4" s="43">
        <f>Guides!D9</f>
        <v>0</v>
      </c>
      <c r="V4" s="43">
        <f>Guides!C8</f>
        <v>109.13472187516774</v>
      </c>
      <c r="W4" s="43">
        <f>Guides!D8</f>
        <v>76.835000000000036</v>
      </c>
      <c r="X4" s="107">
        <f>(W4-U4)/(V4-T4)</f>
        <v>21.025850944867521</v>
      </c>
      <c r="Y4" s="107">
        <f>(W4*T4-U4*V4)/(T4-V4)</f>
        <v>-2217.8153950568499</v>
      </c>
      <c r="Z4" s="12"/>
      <c r="AA4" s="43"/>
      <c r="AB4" s="43"/>
    </row>
    <row r="5" spans="1:28" x14ac:dyDescent="0.2">
      <c r="A5" s="12"/>
      <c r="B5" s="12"/>
      <c r="C5" s="109">
        <f>Panels!C24</f>
        <v>1.9</v>
      </c>
      <c r="D5" s="110">
        <f>Panels!D24</f>
        <v>1.9</v>
      </c>
      <c r="E5" s="110"/>
      <c r="F5" s="110">
        <f>IF(Design!$H$21="x",C5,0)</f>
        <v>0</v>
      </c>
      <c r="G5" s="154">
        <f>IF(Design!$H$21="x",D5,0)</f>
        <v>0</v>
      </c>
      <c r="S5" s="9" t="s">
        <v>106</v>
      </c>
      <c r="T5" s="43">
        <f>Guides!C23</f>
        <v>0</v>
      </c>
      <c r="U5" s="43">
        <f>Guides!D23</f>
        <v>48.229287296147568</v>
      </c>
      <c r="V5" s="43">
        <f>Guides!C24</f>
        <v>120.65</v>
      </c>
      <c r="W5" s="43">
        <f>Guides!D24</f>
        <v>48.229287296147568</v>
      </c>
      <c r="X5" s="107">
        <f>(W5-U5)/(V5-T5)</f>
        <v>0</v>
      </c>
      <c r="Y5" s="107">
        <f>(W5*T5-U5*V5)/(T5-V5)</f>
        <v>48.229287296147568</v>
      </c>
      <c r="Z5" s="43">
        <f>(Y4-Y5)/(X5-X4)</f>
        <v>107.77421985416225</v>
      </c>
      <c r="AA5" s="43">
        <f>Z5*X5+Y5</f>
        <v>48.229287296147568</v>
      </c>
      <c r="AB5" s="43">
        <f>(Z5^2+AA5^2)^0.5</f>
        <v>118.07347974150521</v>
      </c>
    </row>
    <row r="6" spans="1:28" x14ac:dyDescent="0.2">
      <c r="A6" s="12"/>
      <c r="B6" s="9"/>
      <c r="C6" s="112">
        <f>C5</f>
        <v>1.9</v>
      </c>
      <c r="D6" s="113">
        <f>(Guides!D20+Guides!D14)/2</f>
        <v>50.263795785567936</v>
      </c>
      <c r="E6" s="113"/>
      <c r="F6" s="113">
        <f>IF(Design!$H$21="x",C6,0)</f>
        <v>0</v>
      </c>
      <c r="G6" s="155">
        <f>IF(Design!$H$21="x",D6,0)</f>
        <v>0</v>
      </c>
      <c r="S6" s="9"/>
      <c r="T6" s="43"/>
      <c r="U6" s="43"/>
      <c r="V6" s="43"/>
      <c r="W6" s="43"/>
      <c r="X6" s="107"/>
      <c r="Y6" s="107"/>
      <c r="Z6" s="43"/>
      <c r="AA6" s="43"/>
      <c r="AB6" s="43"/>
    </row>
    <row r="7" spans="1:28" x14ac:dyDescent="0.2">
      <c r="A7" s="12"/>
      <c r="B7" s="12"/>
      <c r="C7" s="173">
        <f>Z8</f>
        <v>29.659082142302481</v>
      </c>
      <c r="D7" s="174">
        <f>AA8</f>
        <v>27.78639144761064</v>
      </c>
      <c r="E7" s="124"/>
      <c r="F7" s="113">
        <f>IF(Design!$H$21="x",C7,0)</f>
        <v>0</v>
      </c>
      <c r="G7" s="155">
        <f>IF(Design!$H$21="x",D7,0)</f>
        <v>0</v>
      </c>
      <c r="S7" s="9" t="s">
        <v>108</v>
      </c>
      <c r="T7" s="43">
        <f>Guides!C14</f>
        <v>0</v>
      </c>
      <c r="U7" s="43">
        <f>Guides!D14</f>
        <v>30.194698720530731</v>
      </c>
      <c r="V7" s="43">
        <f>Guides!C15</f>
        <v>120.65</v>
      </c>
      <c r="W7" s="43">
        <f>Guides!D15</f>
        <v>20.397960200986937</v>
      </c>
      <c r="X7" s="107">
        <f>(W7-U7)/(V7-T7)</f>
        <v>-8.1199656191825897E-2</v>
      </c>
      <c r="Y7" s="107">
        <f>(W7*T7-U7*V7)/(T7-V7)</f>
        <v>30.194698720530731</v>
      </c>
      <c r="Z7" s="12"/>
      <c r="AA7" s="43"/>
      <c r="AB7" s="43"/>
    </row>
    <row r="8" spans="1:28" x14ac:dyDescent="0.2">
      <c r="A8" s="12"/>
      <c r="B8" s="9"/>
      <c r="C8" s="109">
        <f>Panels!C44</f>
        <v>67.425725035915377</v>
      </c>
      <c r="D8" s="110">
        <f>Panels!D44</f>
        <v>24.719753029129816</v>
      </c>
      <c r="E8" s="110"/>
      <c r="F8" s="110">
        <f>IF(Design!$H$21="x",C8,0)</f>
        <v>0</v>
      </c>
      <c r="G8" s="154">
        <f>IF(Design!$H$21="x",D8,0)</f>
        <v>0</v>
      </c>
      <c r="S8" s="9" t="s">
        <v>30</v>
      </c>
      <c r="T8" s="43">
        <f>Panels!C36</f>
        <v>33.654298627389551</v>
      </c>
      <c r="U8" s="43">
        <f>Panels!D36</f>
        <v>76.98877323662677</v>
      </c>
      <c r="V8" s="43">
        <f>Panels!C37</f>
        <v>29.81285537892925</v>
      </c>
      <c r="W8" s="43">
        <f>Panels!D37</f>
        <v>29.68015853775065</v>
      </c>
      <c r="X8" s="107">
        <f>(W8-U8)/(V8-T8)</f>
        <v>12.31532308015692</v>
      </c>
      <c r="Y8" s="107">
        <f>(W8*T8-U8*V8)/(T8-V8)</f>
        <v>-337.47478739575706</v>
      </c>
      <c r="Z8" s="43">
        <f>(Y7-Y8)/(X8-X7)</f>
        <v>29.659082142302481</v>
      </c>
      <c r="AA8" s="43">
        <f>Z8*X8+Y8</f>
        <v>27.78639144761064</v>
      </c>
      <c r="AB8" s="43">
        <f>(Z8^2+AA8^2)^0.5</f>
        <v>40.641662160936477</v>
      </c>
    </row>
    <row r="9" spans="1:28" x14ac:dyDescent="0.2">
      <c r="A9" s="12"/>
      <c r="B9" s="9"/>
      <c r="C9" s="112">
        <f>C2</f>
        <v>67.425725035915377</v>
      </c>
      <c r="D9" s="113">
        <f>D2</f>
        <v>24.719753029129816</v>
      </c>
      <c r="E9" s="113"/>
      <c r="F9" s="113">
        <f>IF(Design!$H$21="x",C9,0)</f>
        <v>0</v>
      </c>
      <c r="G9" s="155">
        <f>IF(Design!$H$21="x",D9,0)</f>
        <v>0</v>
      </c>
    </row>
    <row r="10" spans="1:28" x14ac:dyDescent="0.2">
      <c r="A10" s="12"/>
      <c r="B10" s="9"/>
      <c r="C10" s="175"/>
      <c r="D10" s="125"/>
      <c r="E10" s="125"/>
      <c r="F10" s="124"/>
      <c r="G10" s="156"/>
      <c r="S10" s="9" t="s">
        <v>108</v>
      </c>
      <c r="T10" s="43">
        <f>Guides!C8</f>
        <v>109.13472187516774</v>
      </c>
      <c r="U10" s="43">
        <f>Guides!D8</f>
        <v>76.835000000000036</v>
      </c>
      <c r="V10" s="43">
        <f>Guides!C9</f>
        <v>105.48041079869948</v>
      </c>
      <c r="W10" s="43">
        <f>Guides!D9</f>
        <v>0</v>
      </c>
      <c r="X10" s="107">
        <f>(W10-U10)/(V10-T10)</f>
        <v>21.025850944867521</v>
      </c>
      <c r="Y10" s="107">
        <f>(W10*T10-U10*V10)/(T10-V10)</f>
        <v>-2217.8153950568499</v>
      </c>
      <c r="Z10" s="12"/>
      <c r="AA10" s="43"/>
      <c r="AB10" s="43"/>
    </row>
    <row r="11" spans="1:28" x14ac:dyDescent="0.2">
      <c r="A11" s="12"/>
      <c r="B11" s="9"/>
      <c r="C11" s="109">
        <f>Panels!C32</f>
        <v>35.548065717529553</v>
      </c>
      <c r="D11" s="110">
        <f>Panels!D32</f>
        <v>74.935000000000002</v>
      </c>
      <c r="E11" s="110"/>
      <c r="F11" s="110">
        <f>IF(Design!$H$21="x",C11,0)</f>
        <v>0</v>
      </c>
      <c r="G11" s="154">
        <f>IF(Design!$H$21="x",D11,0)</f>
        <v>0</v>
      </c>
      <c r="S11" s="9" t="s">
        <v>33</v>
      </c>
      <c r="T11" s="43">
        <f>Panels!C62</f>
        <v>58.709464221163657</v>
      </c>
      <c r="U11" s="43">
        <f>Panels!D62</f>
        <v>48.229287296147568</v>
      </c>
      <c r="V11" s="43">
        <f>Panels!C63</f>
        <v>90.611643312677913</v>
      </c>
      <c r="W11" s="43">
        <f>Panels!D63</f>
        <v>48.229287296147568</v>
      </c>
      <c r="X11" s="107">
        <f>(W11-U11)/(V11-T11)</f>
        <v>0</v>
      </c>
      <c r="Y11" s="107">
        <f>(W11*T11-U11*V11)/(T11-V11)</f>
        <v>48.229287296147575</v>
      </c>
      <c r="Z11" s="43">
        <f>(Y10-Y11)/(X11-X10)</f>
        <v>107.77421985416225</v>
      </c>
      <c r="AA11" s="43">
        <f>Z11*X11+Y11</f>
        <v>48.229287296147575</v>
      </c>
      <c r="AB11" s="43">
        <f>(Z11^2+AA11^2)^0.5</f>
        <v>118.07347974150521</v>
      </c>
    </row>
    <row r="12" spans="1:28" x14ac:dyDescent="0.2">
      <c r="A12" s="12"/>
      <c r="B12" s="9">
        <v>2</v>
      </c>
      <c r="C12" s="112">
        <f>Panels!C54</f>
        <v>43.074485485083265</v>
      </c>
      <c r="D12" s="113">
        <f>Panels!D54</f>
        <v>68.284248750633637</v>
      </c>
      <c r="E12" s="113"/>
      <c r="F12" s="113">
        <f>IF(Design!$H$21="x",C12,0)</f>
        <v>0</v>
      </c>
      <c r="G12" s="155">
        <f>IF(Design!$H$21="x",D12,0)</f>
        <v>0</v>
      </c>
      <c r="S12" s="9"/>
      <c r="T12" s="43"/>
      <c r="U12" s="43"/>
      <c r="V12" s="43"/>
      <c r="W12" s="43"/>
      <c r="X12" s="107"/>
      <c r="Y12" s="107"/>
      <c r="Z12" s="12"/>
      <c r="AA12" s="43"/>
      <c r="AB12" s="43"/>
    </row>
    <row r="13" spans="1:28" x14ac:dyDescent="0.2">
      <c r="A13" s="12"/>
      <c r="B13" s="9"/>
      <c r="C13" s="173">
        <f>Panels!C75</f>
        <v>108.57987060189097</v>
      </c>
      <c r="D13" s="125">
        <f>Panels!D75</f>
        <v>65.168779831512538</v>
      </c>
      <c r="E13" s="125"/>
      <c r="F13" s="113">
        <f>IF(Design!$H$21="x",C13,0)</f>
        <v>0</v>
      </c>
      <c r="G13" s="155">
        <f>IF(Design!$H$21="x",D13,0)</f>
        <v>0</v>
      </c>
      <c r="S13" s="9"/>
      <c r="T13" s="43"/>
      <c r="U13" s="43"/>
      <c r="V13" s="43"/>
      <c r="W13" s="43"/>
      <c r="X13" s="107"/>
      <c r="Y13" s="107"/>
      <c r="Z13" s="12"/>
      <c r="AA13" s="43"/>
      <c r="AB13" s="43"/>
    </row>
    <row r="14" spans="1:28" x14ac:dyDescent="0.2">
      <c r="A14" s="12"/>
      <c r="B14" s="9"/>
      <c r="C14" s="109">
        <f>Panels!C74</f>
        <v>106.1927286465103</v>
      </c>
      <c r="D14" s="110">
        <f>Panels!D73</f>
        <v>15.067351815142317</v>
      </c>
      <c r="E14" s="110"/>
      <c r="F14" s="110">
        <f>IF(Design!$H$21="x",C14,0)</f>
        <v>0</v>
      </c>
      <c r="G14" s="154">
        <f>IF(Design!$H$21="x",D14,0)</f>
        <v>0</v>
      </c>
      <c r="S14" s="9" t="s">
        <v>132</v>
      </c>
      <c r="T14" s="43">
        <f>Panels!C57</f>
        <v>42.984222563379923</v>
      </c>
      <c r="U14" s="43">
        <f>Panels!D57</f>
        <v>66.386394013050818</v>
      </c>
      <c r="V14" s="43">
        <f>Panels!C56</f>
        <v>106.59175294260481</v>
      </c>
      <c r="W14" s="43">
        <f>Panels!D56</f>
        <v>63.361188015633054</v>
      </c>
      <c r="X14" s="107">
        <f>(W14-U14)/(V14-T14)</f>
        <v>-4.7560500767466339E-2</v>
      </c>
      <c r="Y14" s="107">
        <f>(W14*T14-U14*V14)/(T14-V14)</f>
        <v>68.430745163265385</v>
      </c>
      <c r="Z14" s="43"/>
      <c r="AA14" s="43"/>
      <c r="AB14" s="43"/>
    </row>
    <row r="15" spans="1:28" x14ac:dyDescent="0.2">
      <c r="A15" s="12"/>
      <c r="B15" s="9"/>
      <c r="C15" s="112">
        <f>Panels!C25</f>
        <v>118.75</v>
      </c>
      <c r="D15" s="113">
        <f>Panels!D25</f>
        <v>1.9</v>
      </c>
      <c r="E15" s="113"/>
      <c r="F15" s="113">
        <f>IF(Design!$H$21="x",C15,0)</f>
        <v>0</v>
      </c>
      <c r="G15" s="155">
        <f>IF(Design!$H$21="x",D15,0)</f>
        <v>0</v>
      </c>
      <c r="S15" s="9" t="s">
        <v>182</v>
      </c>
      <c r="T15" s="43">
        <f>Panels!C61</f>
        <v>58.709464221163657</v>
      </c>
      <c r="U15" s="43">
        <f>Panels!D61</f>
        <v>46.329287296147569</v>
      </c>
      <c r="V15" s="43">
        <f>Panels!C62</f>
        <v>58.709464221163657</v>
      </c>
      <c r="W15" s="43">
        <f>Panels!D62</f>
        <v>48.229287296147568</v>
      </c>
      <c r="X15" s="107" t="str">
        <f>IF((V15&lt;&gt;T15),(W15-U15)/(V15-T15),"vertical")</f>
        <v>vertical</v>
      </c>
      <c r="Y15" s="107" t="str">
        <f>IF((V15&lt;&gt;T15),(W15*T15-U15*V15)/(T15-V15),"vertical")</f>
        <v>vertical</v>
      </c>
      <c r="Z15" s="43">
        <f>IF((V15&lt;&gt;T15),(Y14-Y15)/(X15-X14),T15)</f>
        <v>58.709464221163657</v>
      </c>
      <c r="AA15" s="43">
        <f>IF((V15&lt;&gt;T15),Z15*X15+Y15,T15*X14+Y14)</f>
        <v>65.638493645117194</v>
      </c>
      <c r="AB15" s="43">
        <f>(Z15^2+AA15^2)^0.5</f>
        <v>88.063687392342288</v>
      </c>
    </row>
    <row r="16" spans="1:28" x14ac:dyDescent="0.2">
      <c r="A16" s="12"/>
      <c r="B16" s="9"/>
      <c r="C16" s="175">
        <f>Panels!C33</f>
        <v>118.75</v>
      </c>
      <c r="D16" s="125">
        <f>Panels!D33</f>
        <v>74.935000000000002</v>
      </c>
      <c r="E16" s="125"/>
      <c r="F16" s="113">
        <f>IF(Design!$H$21="x",C16,0)</f>
        <v>0</v>
      </c>
      <c r="G16" s="155">
        <f>IF(Design!$H$21="x",D16,0)</f>
        <v>0</v>
      </c>
      <c r="S16" s="9"/>
      <c r="T16" s="43"/>
      <c r="U16" s="43"/>
      <c r="V16" s="43"/>
      <c r="W16" s="43"/>
      <c r="X16" s="107"/>
      <c r="Y16" s="107"/>
      <c r="Z16" s="12"/>
      <c r="AA16" s="43"/>
      <c r="AB16" s="43"/>
    </row>
    <row r="17" spans="1:28" x14ac:dyDescent="0.2">
      <c r="A17" s="12"/>
      <c r="B17" s="9"/>
      <c r="C17" s="109">
        <f>C11</f>
        <v>35.548065717529553</v>
      </c>
      <c r="D17" s="110">
        <f>D11</f>
        <v>74.935000000000002</v>
      </c>
      <c r="E17" s="110"/>
      <c r="F17" s="110">
        <f>IF(Design!$H$21="x",C17,0)</f>
        <v>0</v>
      </c>
      <c r="G17" s="154">
        <f>IF(Design!$H$21="x",D17,0)</f>
        <v>0</v>
      </c>
      <c r="S17" s="9"/>
      <c r="T17" s="43"/>
      <c r="U17" s="43"/>
      <c r="V17" s="43"/>
      <c r="W17" s="43"/>
      <c r="X17" s="107"/>
      <c r="Y17" s="107"/>
      <c r="Z17" s="43"/>
      <c r="AA17" s="43"/>
      <c r="AB17" s="43"/>
    </row>
    <row r="18" spans="1:28" x14ac:dyDescent="0.2">
      <c r="A18" s="12"/>
      <c r="B18" s="9"/>
      <c r="C18" s="112"/>
      <c r="D18" s="113"/>
      <c r="E18" s="113"/>
      <c r="F18" s="113"/>
      <c r="G18" s="155"/>
      <c r="S18" s="9" t="s">
        <v>31</v>
      </c>
      <c r="T18" s="43">
        <f>Panels!C45</f>
        <v>67.579498272542139</v>
      </c>
      <c r="U18" s="43">
        <f>Panels!D45</f>
        <v>26.613520119269818</v>
      </c>
      <c r="V18" s="43">
        <f>Panels!C46</f>
        <v>29.81285537892925</v>
      </c>
      <c r="W18" s="43">
        <f>Panels!D46</f>
        <v>29.68015853775065</v>
      </c>
      <c r="X18" s="107">
        <f>(W18-U18)/(V18-T18)</f>
        <v>-8.1199656191825897E-2</v>
      </c>
      <c r="Y18" s="107">
        <f>(W18*T18-U18*V18)/(T18-V18)</f>
        <v>32.100952144616336</v>
      </c>
      <c r="Z18" s="43"/>
      <c r="AA18" s="43"/>
      <c r="AB18" s="43"/>
    </row>
    <row r="19" spans="1:28" x14ac:dyDescent="0.2">
      <c r="A19" s="12"/>
      <c r="B19" s="9"/>
      <c r="C19" s="175"/>
      <c r="D19" s="125"/>
      <c r="E19" s="125"/>
      <c r="F19" s="124"/>
      <c r="G19" s="156"/>
      <c r="S19" s="9" t="s">
        <v>182</v>
      </c>
      <c r="T19" s="43">
        <f>T15</f>
        <v>58.709464221163657</v>
      </c>
      <c r="U19" s="43">
        <f>U15</f>
        <v>46.329287296147569</v>
      </c>
      <c r="V19" s="43">
        <f>V15</f>
        <v>58.709464221163657</v>
      </c>
      <c r="W19" s="43">
        <f>W15</f>
        <v>48.229287296147568</v>
      </c>
      <c r="X19" s="107" t="str">
        <f>IF((V19&lt;&gt;T19),(W19-U19)/(V19-T19),"vertical")</f>
        <v>vertical</v>
      </c>
      <c r="Y19" s="107" t="str">
        <f>IF((V19&lt;&gt;T19),(W19*T19-U19*V19)/(T19-V19),"vertical")</f>
        <v>vertical</v>
      </c>
      <c r="Z19" s="43">
        <f>IF((V19&lt;&gt;T19),(Y18-Y19)/(X19-X18),T19)</f>
        <v>58.709464221163657</v>
      </c>
      <c r="AA19" s="43">
        <f>IF((V19&lt;&gt;T19),Z19*X19+Y19,T19*X18+Y18)</f>
        <v>27.333763834651542</v>
      </c>
      <c r="AB19" s="43">
        <f>(Z19^2+AA19^2)^0.5</f>
        <v>64.760604031344556</v>
      </c>
    </row>
    <row r="20" spans="1:28" x14ac:dyDescent="0.2">
      <c r="A20" s="12"/>
      <c r="B20" s="9"/>
      <c r="C20" s="109">
        <f>Panels!C48</f>
        <v>38.029786001071884</v>
      </c>
      <c r="D20" s="110">
        <f>Panels!D48</f>
        <v>29.012946596280582</v>
      </c>
      <c r="E20" s="110"/>
      <c r="F20" s="110">
        <f>IF(Design!$H$21="x",C20,0)</f>
        <v>0</v>
      </c>
      <c r="G20" s="154">
        <f>IF(Design!$H$21="x",D20,0)</f>
        <v>0</v>
      </c>
    </row>
    <row r="21" spans="1:28" x14ac:dyDescent="0.2">
      <c r="A21" s="12"/>
      <c r="B21" s="9">
        <v>3</v>
      </c>
      <c r="C21" s="112">
        <f>Panels!C57</f>
        <v>42.984222563379923</v>
      </c>
      <c r="D21" s="113">
        <f>Panels!D57</f>
        <v>66.386394013050818</v>
      </c>
      <c r="E21" s="113"/>
      <c r="F21" s="113">
        <f>IF(Design!$H$21="x",C21,0)</f>
        <v>0</v>
      </c>
      <c r="G21" s="155">
        <f>IF(Design!$H$21="x",D21,0)</f>
        <v>0</v>
      </c>
    </row>
    <row r="22" spans="1:28" x14ac:dyDescent="0.2">
      <c r="A22" s="12"/>
      <c r="B22" s="9"/>
      <c r="C22" s="288">
        <f>Z15</f>
        <v>58.709464221163657</v>
      </c>
      <c r="D22" s="113">
        <f>AA15</f>
        <v>65.638493645117194</v>
      </c>
      <c r="E22" s="113"/>
      <c r="F22" s="113">
        <f>IF(Design!$H$21="x",C22,0)</f>
        <v>0</v>
      </c>
      <c r="G22" s="155">
        <f>IF(Design!$H$21="x",D22,0)</f>
        <v>0</v>
      </c>
    </row>
    <row r="23" spans="1:28" x14ac:dyDescent="0.2">
      <c r="A23" s="12"/>
      <c r="B23" s="9"/>
      <c r="C23" s="109">
        <f>Z19</f>
        <v>58.709464221163657</v>
      </c>
      <c r="D23" s="110">
        <f>AA19</f>
        <v>27.333763834651542</v>
      </c>
      <c r="E23" s="110"/>
      <c r="F23" s="110">
        <f>IF(Design!$H$21="x",C23,0)</f>
        <v>0</v>
      </c>
      <c r="G23" s="154">
        <f>IF(Design!$H$21="x",D23,0)</f>
        <v>0</v>
      </c>
    </row>
    <row r="24" spans="1:28" x14ac:dyDescent="0.2">
      <c r="A24" s="12"/>
      <c r="B24" s="9"/>
      <c r="C24" s="112">
        <f>C20</f>
        <v>38.029786001071884</v>
      </c>
      <c r="D24" s="113">
        <f>D20</f>
        <v>29.012946596280582</v>
      </c>
      <c r="E24" s="113"/>
      <c r="F24" s="113">
        <f>IF(Design!$H$21="x",C24,0)</f>
        <v>0</v>
      </c>
      <c r="G24" s="155">
        <f>IF(Design!$H$21="x",D24,0)</f>
        <v>0</v>
      </c>
    </row>
    <row r="25" spans="1:28" x14ac:dyDescent="0.2">
      <c r="A25" s="12"/>
      <c r="B25" s="9"/>
      <c r="C25" s="175"/>
      <c r="D25" s="125"/>
      <c r="E25" s="125"/>
      <c r="F25" s="125"/>
      <c r="G25" s="156"/>
    </row>
    <row r="26" spans="1:28" x14ac:dyDescent="0.2">
      <c r="A26" s="12"/>
      <c r="B26" s="9"/>
      <c r="C26" s="109"/>
      <c r="D26" s="110"/>
      <c r="E26" s="110"/>
      <c r="F26" s="110"/>
      <c r="G26" s="154"/>
    </row>
    <row r="27" spans="1:28" x14ac:dyDescent="0.2">
      <c r="A27" s="12"/>
      <c r="B27" s="9"/>
      <c r="C27" s="112"/>
      <c r="D27" s="113"/>
      <c r="E27" s="113"/>
      <c r="F27" s="113"/>
      <c r="G27" s="155"/>
    </row>
    <row r="28" spans="1:28" x14ac:dyDescent="0.2">
      <c r="A28" s="12"/>
      <c r="B28" s="9"/>
      <c r="C28" s="175"/>
      <c r="D28" s="125"/>
      <c r="E28" s="125"/>
      <c r="F28" s="124"/>
      <c r="G28" s="156"/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36</vt:i4>
      </vt:variant>
    </vt:vector>
  </HeadingPairs>
  <TitlesOfParts>
    <vt:vector size="43" baseType="lpstr">
      <vt:lpstr>Design</vt:lpstr>
      <vt:lpstr>Panels</vt:lpstr>
      <vt:lpstr>Path</vt:lpstr>
      <vt:lpstr>Guides</vt:lpstr>
      <vt:lpstr>Layout</vt:lpstr>
      <vt:lpstr>Instructions</vt:lpstr>
      <vt:lpstr>Bracing</vt:lpstr>
      <vt:lpstr>_L1_</vt:lpstr>
      <vt:lpstr>_L2_</vt:lpstr>
      <vt:lpstr>_L3_</vt:lpstr>
      <vt:lpstr>_L4_</vt:lpstr>
      <vt:lpstr>_L5_</vt:lpstr>
      <vt:lpstr>_S1_</vt:lpstr>
      <vt:lpstr>_S2_</vt:lpstr>
      <vt:lpstr>_S3_</vt:lpstr>
      <vt:lpstr>_S4_</vt:lpstr>
      <vt:lpstr>_S5_</vt:lpstr>
      <vt:lpstr>Angle1</vt:lpstr>
      <vt:lpstr>Angle1_err</vt:lpstr>
      <vt:lpstr>Angle2</vt:lpstr>
      <vt:lpstr>Angle2_err</vt:lpstr>
      <vt:lpstr>FileName</vt:lpstr>
      <vt:lpstr>HornrespExp</vt:lpstr>
      <vt:lpstr>PanelB</vt:lpstr>
      <vt:lpstr>PanelB_err</vt:lpstr>
      <vt:lpstr>PanelE</vt:lpstr>
      <vt:lpstr>PanelE_err</vt:lpstr>
      <vt:lpstr>PanelF</vt:lpstr>
      <vt:lpstr>PanelF_err</vt:lpstr>
      <vt:lpstr>PanelG</vt:lpstr>
      <vt:lpstr>PanelG_err</vt:lpstr>
      <vt:lpstr>PanelGh</vt:lpstr>
      <vt:lpstr>PanelGh_err</vt:lpstr>
      <vt:lpstr>PanelH</vt:lpstr>
      <vt:lpstr>PanelH_err</vt:lpstr>
      <vt:lpstr>PanelI</vt:lpstr>
      <vt:lpstr>PanelI_err</vt:lpstr>
      <vt:lpstr>PanelJ</vt:lpstr>
      <vt:lpstr>PanelJ_err</vt:lpstr>
      <vt:lpstr>PanelJh</vt:lpstr>
      <vt:lpstr>PanelJh_err</vt:lpstr>
      <vt:lpstr>PanelK</vt:lpstr>
      <vt:lpstr>PanelK_err</vt:lpstr>
    </vt:vector>
  </TitlesOfParts>
  <Company>B&amp;G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Steele</dc:creator>
  <cp:lastModifiedBy>Brian.Steele</cp:lastModifiedBy>
  <cp:lastPrinted>2018-06-23T04:47:47Z</cp:lastPrinted>
  <dcterms:created xsi:type="dcterms:W3CDTF">2010-07-12T00:49:36Z</dcterms:created>
  <dcterms:modified xsi:type="dcterms:W3CDTF">2019-04-15T21:37:29Z</dcterms:modified>
</cp:coreProperties>
</file>